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365tno.sharepoint.com/teams/P060.33948/TeamDocuments/Team/Final Factsheets 2018-2021/ESDL ready/"/>
    </mc:Choice>
  </mc:AlternateContent>
  <xr:revisionPtr revIDLastSave="288" documentId="8_{AD6393B4-1A54-454C-9EA2-046BD36AB7D6}" xr6:coauthVersionLast="47" xr6:coauthVersionMax="47" xr10:uidLastSave="{4A3A57CA-6F1F-4039-8BB3-5540E1EC9D16}"/>
  <workbookProtection workbookAlgorithmName="SHA-512" workbookHashValue="fd9gdGTt86Iz3SD8ihKUcxv0BHGPeI9OxD3rvEiS+1r80v5md9nmlqWyI0RV5IqmB5VIyBrlfWF7mT9lCb2+gQ==" workbookSaltValue="oF398UnkIWluLyHLlGVvVg==" workbookSpinCount="100000" lockStructure="1"/>
  <bookViews>
    <workbookView xWindow="-120" yWindow="-120" windowWidth="51840" windowHeight="21240" tabRatio="500" firstSheet="4" activeTab="4" xr2:uid="{00000000-000D-0000-FFFF-FFFF00000000}"/>
  </bookViews>
  <sheets>
    <sheet name="READ ME" sheetId="3" state="hidden" r:id="rId1"/>
    <sheet name="Data input OLD" sheetId="14" state="hidden" r:id="rId2"/>
    <sheet name="ESDL Change log 10-11-2022" sheetId="15" state="hidden" r:id="rId3"/>
    <sheet name="Data input" sheetId="2" state="hidden" r:id="rId4"/>
    <sheet name="Technology Factsheet" sheetId="1" r:id="rId5"/>
    <sheet name="List" sheetId="4" state="hidden" r:id="rId6"/>
    <sheet name="Calculations" sheetId="8" state="hidden" r:id="rId7"/>
    <sheet name="JRC_ETRI_Wind energy" sheetId="9" state="hidden" r:id="rId8"/>
    <sheet name="Visual representation" sheetId="6" state="hidden" r:id="rId9"/>
    <sheet name="Change log" sheetId="7" state="hidden" r:id="rId10"/>
  </sheets>
  <definedNames>
    <definedName name="_ftn1" localSheetId="0">'READ ME'!$C$116</definedName>
    <definedName name="_ftnref1" localSheetId="0">'READ ME'!$C$104</definedName>
    <definedName name="_MailOriginal" localSheetId="6">Calculations!$D$244</definedName>
    <definedName name="AEP" localSheetId="6">Calculations!$N$21:$N$81</definedName>
    <definedName name="CAPEX_2020" localSheetId="6">Calculations!$C$2</definedName>
    <definedName name="CAPEX_2020_high" localSheetId="6">Calculations!$E$2</definedName>
    <definedName name="CAPEX_2020_low" localSheetId="6">Calculations!$D$2</definedName>
    <definedName name="LR_high" localSheetId="6">Calculations!$C$10</definedName>
    <definedName name="LR_high_2030" localSheetId="6">Calculations!$D$10</definedName>
    <definedName name="LR_low" localSheetId="6">Calculations!$C$8</definedName>
    <definedName name="LR_low_2030" localSheetId="6">Calculations!$D$8</definedName>
    <definedName name="LR_med" localSheetId="6">Calculations!$C$9</definedName>
    <definedName name="LR_med_2030" localSheetId="6">Calculations!$D$9</definedName>
    <definedName name="NewCapacity_MW" localSheetId="6">Calculations!$I$21:$I$81</definedName>
    <definedName name="OPEX_2020" localSheetId="6">Calculations!$C$3</definedName>
    <definedName name="OPEX_2020_High" localSheetId="6">Calculations!$E$3</definedName>
    <definedName name="OPEX_2020_Low" localSheetId="6">Calculations!$D$3</definedName>
    <definedName name="OPEX_mid" localSheetId="6">Calculations!$G$21:$G$81</definedName>
    <definedName name="_xlnm.Print_Area" localSheetId="0">'READ ME'!$A$1:$D$119</definedName>
    <definedName name="_xlnm.Print_Area" localSheetId="4">'Technology Factsheet'!$B$59:$O$90</definedName>
    <definedName name="SD_2020" localSheetId="6">Calculations!$C$4</definedName>
    <definedName name="Years" localSheetId="6">Calculations!$B$21:$B$81</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9" i="15" l="1"/>
  <c r="D20" i="15"/>
  <c r="D18" i="15"/>
  <c r="D15" i="15"/>
  <c r="D16" i="15"/>
  <c r="D14" i="15"/>
  <c r="D11" i="15"/>
  <c r="D12" i="15"/>
  <c r="D10" i="15"/>
  <c r="BA108" i="14" l="1"/>
  <c r="BA107" i="14"/>
  <c r="BA103" i="14"/>
  <c r="BA102" i="14"/>
  <c r="BA101" i="14"/>
  <c r="BA100" i="14"/>
  <c r="BA99" i="14"/>
  <c r="BA98" i="14"/>
  <c r="BA97" i="14"/>
  <c r="BA96" i="14"/>
  <c r="BA95" i="14"/>
  <c r="BA94" i="14"/>
  <c r="BA93" i="14"/>
  <c r="BA92" i="14"/>
  <c r="BA78" i="14"/>
  <c r="BA66" i="14"/>
  <c r="BA58" i="14"/>
  <c r="BA46" i="14"/>
  <c r="S45" i="14"/>
  <c r="R45" i="14"/>
  <c r="N45" i="14"/>
  <c r="M45" i="14"/>
  <c r="I45" i="14"/>
  <c r="H45" i="14"/>
  <c r="S44" i="14"/>
  <c r="R44" i="14"/>
  <c r="Q44" i="14"/>
  <c r="N44" i="14"/>
  <c r="M44" i="14"/>
  <c r="L44" i="14"/>
  <c r="I44" i="14"/>
  <c r="H44" i="14"/>
  <c r="G44" i="14"/>
  <c r="S43" i="14"/>
  <c r="R43" i="14"/>
  <c r="N43" i="14"/>
  <c r="M43" i="14"/>
  <c r="I43" i="14"/>
  <c r="H43" i="14"/>
  <c r="S42" i="14"/>
  <c r="R42" i="14"/>
  <c r="Q42" i="14"/>
  <c r="N42" i="14"/>
  <c r="M42" i="14"/>
  <c r="L42" i="14"/>
  <c r="I42" i="14"/>
  <c r="H42" i="14"/>
  <c r="G42" i="14"/>
  <c r="E42" i="14"/>
  <c r="E40" i="14"/>
  <c r="S38" i="14"/>
  <c r="R38" i="14"/>
  <c r="Q38" i="14"/>
  <c r="N38" i="14"/>
  <c r="M38" i="14"/>
  <c r="L38" i="14"/>
  <c r="I38" i="14"/>
  <c r="H38" i="14"/>
  <c r="G38" i="14"/>
  <c r="E38" i="14"/>
  <c r="AZ34" i="14"/>
  <c r="D19" i="14"/>
  <c r="AZ14" i="14"/>
  <c r="AZ12" i="14"/>
  <c r="C97" i="1" l="1"/>
  <c r="B97" i="1"/>
  <c r="AZ97" i="1" s="1"/>
  <c r="C96" i="1"/>
  <c r="B96" i="1"/>
  <c r="AZ96" i="1" s="1"/>
  <c r="C95" i="1"/>
  <c r="B95" i="1"/>
  <c r="AZ95" i="1" s="1"/>
  <c r="C94" i="1"/>
  <c r="B94" i="1"/>
  <c r="AZ94" i="1" s="1"/>
  <c r="C93" i="1"/>
  <c r="B93" i="1"/>
  <c r="AZ93" i="1" s="1"/>
  <c r="C92" i="1"/>
  <c r="B92" i="1"/>
  <c r="AZ92" i="1" s="1"/>
  <c r="C91" i="1"/>
  <c r="B91" i="1"/>
  <c r="AZ91" i="1" s="1"/>
  <c r="B90" i="1"/>
  <c r="B89" i="1"/>
  <c r="B88" i="1"/>
  <c r="B87" i="1"/>
  <c r="B86" i="1"/>
  <c r="B85" i="1"/>
  <c r="B84" i="1"/>
  <c r="B83" i="1"/>
  <c r="B82" i="1"/>
  <c r="C90" i="1"/>
  <c r="C89" i="1"/>
  <c r="C88" i="1"/>
  <c r="C87" i="1"/>
  <c r="C86" i="1"/>
  <c r="C85" i="1"/>
  <c r="C84" i="1"/>
  <c r="C83" i="1"/>
  <c r="C82" i="1"/>
  <c r="D10" i="1"/>
  <c r="D28" i="1"/>
  <c r="S45" i="2" l="1"/>
  <c r="S43" i="2"/>
  <c r="R45" i="2"/>
  <c r="R43" i="2"/>
  <c r="N45" i="2"/>
  <c r="N43" i="2"/>
  <c r="M45" i="2"/>
  <c r="M43" i="2"/>
  <c r="I45" i="2"/>
  <c r="I43" i="2"/>
  <c r="H45" i="2"/>
  <c r="H43" i="2"/>
  <c r="U265" i="8"/>
  <c r="T265" i="8"/>
  <c r="U264" i="8"/>
  <c r="T264" i="8"/>
  <c r="U263" i="8"/>
  <c r="T263" i="8"/>
  <c r="U262" i="8"/>
  <c r="T262" i="8"/>
  <c r="BA103" i="2" l="1"/>
  <c r="BA102" i="2"/>
  <c r="BA101" i="2"/>
  <c r="BA100" i="2"/>
  <c r="X273" i="8"/>
  <c r="W273" i="8"/>
  <c r="V273" i="8"/>
  <c r="U273" i="8"/>
  <c r="T273" i="8"/>
  <c r="S273" i="8"/>
  <c r="R273" i="8"/>
  <c r="Q273" i="8"/>
  <c r="P273" i="8"/>
  <c r="X272" i="8"/>
  <c r="W272" i="8"/>
  <c r="V272" i="8"/>
  <c r="U272" i="8"/>
  <c r="T272" i="8"/>
  <c r="S272" i="8"/>
  <c r="R272" i="8"/>
  <c r="Q272" i="8"/>
  <c r="P272" i="8"/>
  <c r="X271" i="8"/>
  <c r="W271" i="8"/>
  <c r="V271" i="8"/>
  <c r="U271" i="8"/>
  <c r="T271" i="8"/>
  <c r="S271" i="8"/>
  <c r="R271" i="8"/>
  <c r="Q271" i="8"/>
  <c r="P271" i="8"/>
  <c r="X270" i="8"/>
  <c r="W270" i="8"/>
  <c r="V270" i="8"/>
  <c r="U270" i="8"/>
  <c r="T270" i="8"/>
  <c r="S270" i="8"/>
  <c r="R270" i="8"/>
  <c r="Q270" i="8"/>
  <c r="P270" i="8"/>
  <c r="U256" i="8"/>
  <c r="U255" i="8"/>
  <c r="U254" i="8"/>
  <c r="U253" i="8"/>
  <c r="S256" i="8"/>
  <c r="S255" i="8"/>
  <c r="S254" i="8"/>
  <c r="S253" i="8"/>
  <c r="R256" i="8"/>
  <c r="P256" i="8"/>
  <c r="R255" i="8"/>
  <c r="P255" i="8"/>
  <c r="R254" i="8"/>
  <c r="R253" i="8"/>
  <c r="P254" i="8"/>
  <c r="P253" i="8"/>
  <c r="F249" i="8" l="1"/>
  <c r="AO227" i="8" l="1"/>
  <c r="AF229" i="8" s="1"/>
  <c r="AF227" i="8"/>
  <c r="AK160" i="8"/>
  <c r="AB134" i="8" l="1"/>
  <c r="BE130" i="8" l="1"/>
  <c r="BE129" i="8"/>
  <c r="BE128" i="8"/>
  <c r="BE127" i="8"/>
  <c r="BE126" i="8"/>
  <c r="BE125" i="8"/>
  <c r="AX130" i="8" l="1"/>
  <c r="AX129" i="8"/>
  <c r="AX128" i="8"/>
  <c r="AX127" i="8"/>
  <c r="AX126" i="8"/>
  <c r="AX125" i="8"/>
  <c r="AJ131" i="8"/>
  <c r="AA5" i="8"/>
  <c r="AD16" i="8"/>
  <c r="AB136" i="8"/>
  <c r="AA134" i="8"/>
  <c r="AA136" i="8" s="1"/>
  <c r="AK131" i="8" l="1"/>
  <c r="AK126" i="8"/>
  <c r="AK125" i="8"/>
  <c r="AM125" i="8" s="1"/>
  <c r="AK128" i="8"/>
  <c r="AM128" i="8" s="1"/>
  <c r="AK129" i="8"/>
  <c r="AM129" i="8" s="1"/>
  <c r="AM126" i="8"/>
  <c r="AK130" i="8"/>
  <c r="AM130" i="8" s="1"/>
  <c r="AK127" i="8"/>
  <c r="AM127" i="8" s="1"/>
  <c r="O90" i="8"/>
  <c r="G90" i="8"/>
  <c r="F90" i="8"/>
  <c r="N90" i="8" s="1"/>
  <c r="AA8" i="8"/>
  <c r="AQ126" i="8" l="1"/>
  <c r="AR126" i="8"/>
  <c r="AQ129" i="8"/>
  <c r="AR129" i="8"/>
  <c r="AQ127" i="8"/>
  <c r="AR127" i="8"/>
  <c r="AM131" i="8"/>
  <c r="AR125" i="8"/>
  <c r="AQ125" i="8"/>
  <c r="AQ130" i="8"/>
  <c r="AR130" i="8"/>
  <c r="AQ128" i="8"/>
  <c r="AR128" i="8"/>
  <c r="AB3" i="8"/>
  <c r="AF3" i="8"/>
  <c r="AF8" i="8" s="1"/>
  <c r="AE3" i="8"/>
  <c r="AE8" i="8" s="1"/>
  <c r="AI3" i="8"/>
  <c r="AI8" i="8" s="1"/>
  <c r="AH3" i="8"/>
  <c r="AH8" i="8" s="1"/>
  <c r="AG3" i="8"/>
  <c r="AG8" i="8" s="1"/>
  <c r="AD3" i="8"/>
  <c r="AD8" i="8" s="1"/>
  <c r="AR131" i="8" l="1"/>
  <c r="AS130" i="8" s="1"/>
  <c r="AC3" i="8"/>
  <c r="AC8" i="8" s="1"/>
  <c r="AB8" i="8"/>
  <c r="AQ131" i="8"/>
  <c r="F85" i="8"/>
  <c r="F81" i="8"/>
  <c r="F92" i="8" s="1"/>
  <c r="F82" i="8"/>
  <c r="F93" i="8" l="1"/>
  <c r="AS127" i="8"/>
  <c r="AU127" i="8" s="1"/>
  <c r="AV130" i="8"/>
  <c r="AT130" i="8"/>
  <c r="AU130" i="8"/>
  <c r="AS131" i="8"/>
  <c r="AS128" i="8"/>
  <c r="AU128" i="8" s="1"/>
  <c r="AS129" i="8"/>
  <c r="AS126" i="8"/>
  <c r="AV126" i="8" s="1"/>
  <c r="AS125" i="8"/>
  <c r="F83" i="8"/>
  <c r="G89" i="8"/>
  <c r="F89" i="8"/>
  <c r="AV128" i="8"/>
  <c r="D5" i="1"/>
  <c r="D6" i="1"/>
  <c r="AT128" i="8" l="1"/>
  <c r="AT127" i="8"/>
  <c r="AU126" i="8"/>
  <c r="AV127" i="8"/>
  <c r="AT126" i="8"/>
  <c r="AW126" i="8"/>
  <c r="BN126" i="8"/>
  <c r="AW128" i="8"/>
  <c r="BN128" i="8"/>
  <c r="AU125" i="8"/>
  <c r="AV125" i="8"/>
  <c r="AT125" i="8"/>
  <c r="AW127" i="8"/>
  <c r="BN127" i="8"/>
  <c r="AV129" i="8"/>
  <c r="AT129" i="8"/>
  <c r="AU129" i="8"/>
  <c r="AW130" i="8"/>
  <c r="BN130" i="8"/>
  <c r="BO130" i="8" s="1"/>
  <c r="D78" i="1"/>
  <c r="E38" i="1"/>
  <c r="D38" i="1"/>
  <c r="D36" i="1"/>
  <c r="D34" i="1"/>
  <c r="D32" i="1"/>
  <c r="B3" i="1"/>
  <c r="AZ82" i="1"/>
  <c r="G67" i="1"/>
  <c r="J18" i="1"/>
  <c r="AZ28" i="1"/>
  <c r="F17" i="1"/>
  <c r="D20" i="1"/>
  <c r="D17" i="1"/>
  <c r="D80" i="1"/>
  <c r="AZ80" i="1" s="1"/>
  <c r="D69" i="1"/>
  <c r="AZ69" i="1" s="1"/>
  <c r="B78" i="1"/>
  <c r="B76" i="1"/>
  <c r="B74" i="1"/>
  <c r="B72" i="1"/>
  <c r="D72" i="1"/>
  <c r="D76" i="1"/>
  <c r="D74" i="1"/>
  <c r="F54" i="1"/>
  <c r="O79" i="1"/>
  <c r="M79" i="1"/>
  <c r="L79" i="1"/>
  <c r="J79" i="1"/>
  <c r="I79" i="1"/>
  <c r="G79" i="1"/>
  <c r="M78" i="1"/>
  <c r="J78" i="1"/>
  <c r="G78" i="1"/>
  <c r="O77" i="1"/>
  <c r="M77" i="1"/>
  <c r="L77" i="1"/>
  <c r="J77" i="1"/>
  <c r="I77" i="1"/>
  <c r="G77" i="1"/>
  <c r="M76" i="1"/>
  <c r="J76" i="1"/>
  <c r="G76" i="1"/>
  <c r="O75" i="1"/>
  <c r="M75" i="1"/>
  <c r="L75" i="1"/>
  <c r="J75" i="1"/>
  <c r="I75" i="1"/>
  <c r="G75" i="1"/>
  <c r="M74" i="1"/>
  <c r="J74" i="1"/>
  <c r="G74" i="1"/>
  <c r="E24" i="1"/>
  <c r="D25" i="1"/>
  <c r="AZ14" i="2"/>
  <c r="BA93" i="2"/>
  <c r="BA94" i="2"/>
  <c r="BA95" i="2"/>
  <c r="BA96" i="2"/>
  <c r="BA97" i="2"/>
  <c r="BA98" i="2"/>
  <c r="BA99" i="2"/>
  <c r="BA107" i="2"/>
  <c r="BA108" i="2"/>
  <c r="BA92" i="2"/>
  <c r="BA78" i="2"/>
  <c r="BA66" i="2"/>
  <c r="BA58" i="2"/>
  <c r="BA46" i="2"/>
  <c r="AZ34" i="2"/>
  <c r="AZ12" i="2"/>
  <c r="O21" i="1"/>
  <c r="M21" i="1"/>
  <c r="L21" i="1"/>
  <c r="J21" i="1"/>
  <c r="I21" i="1"/>
  <c r="G21" i="1"/>
  <c r="M20" i="1"/>
  <c r="J20" i="1"/>
  <c r="G20" i="1"/>
  <c r="O19" i="1"/>
  <c r="M19" i="1"/>
  <c r="L19" i="1"/>
  <c r="J19" i="1"/>
  <c r="I19" i="1"/>
  <c r="G19" i="1"/>
  <c r="M18" i="1"/>
  <c r="G18" i="1"/>
  <c r="F67" i="1"/>
  <c r="F65" i="1"/>
  <c r="F63" i="1"/>
  <c r="F61" i="1"/>
  <c r="D12" i="1"/>
  <c r="AZ12" i="1" s="1"/>
  <c r="D67" i="1"/>
  <c r="D65" i="1"/>
  <c r="D63" i="1"/>
  <c r="D61" i="1"/>
  <c r="D44" i="1"/>
  <c r="D49" i="1"/>
  <c r="D47" i="1"/>
  <c r="D45" i="1"/>
  <c r="D22" i="1"/>
  <c r="AZ89" i="1"/>
  <c r="AZ90" i="1"/>
  <c r="AZ84" i="1"/>
  <c r="AZ85" i="1"/>
  <c r="AZ86" i="1"/>
  <c r="AZ87" i="1"/>
  <c r="AZ88" i="1"/>
  <c r="AZ83" i="1"/>
  <c r="O73" i="1"/>
  <c r="M73" i="1"/>
  <c r="L73" i="1"/>
  <c r="J73" i="1"/>
  <c r="I73" i="1"/>
  <c r="G73" i="1"/>
  <c r="M72" i="1"/>
  <c r="J72" i="1"/>
  <c r="G72" i="1"/>
  <c r="D56" i="1"/>
  <c r="D58" i="1"/>
  <c r="AZ58" i="1" s="1"/>
  <c r="O68" i="1"/>
  <c r="M68" i="1"/>
  <c r="L68" i="1"/>
  <c r="J68" i="1"/>
  <c r="O66" i="1"/>
  <c r="M66" i="1"/>
  <c r="L66" i="1"/>
  <c r="J66" i="1"/>
  <c r="O64" i="1"/>
  <c r="M64" i="1"/>
  <c r="L64" i="1"/>
  <c r="J64" i="1"/>
  <c r="O62" i="1"/>
  <c r="M62" i="1"/>
  <c r="L62" i="1"/>
  <c r="J62" i="1"/>
  <c r="I68" i="1"/>
  <c r="G68" i="1"/>
  <c r="I66" i="1"/>
  <c r="G66" i="1"/>
  <c r="I64" i="1"/>
  <c r="G64" i="1"/>
  <c r="I62" i="1"/>
  <c r="G62" i="1"/>
  <c r="M67" i="1"/>
  <c r="J67" i="1"/>
  <c r="M65" i="1"/>
  <c r="J65" i="1"/>
  <c r="G65" i="1"/>
  <c r="M63" i="1"/>
  <c r="J63" i="1"/>
  <c r="G63" i="1"/>
  <c r="M61" i="1"/>
  <c r="J61" i="1"/>
  <c r="G61" i="1"/>
  <c r="D51" i="1"/>
  <c r="AZ51" i="1" s="1"/>
  <c r="O57" i="1"/>
  <c r="M57" i="1"/>
  <c r="L57" i="1"/>
  <c r="J57" i="1"/>
  <c r="I57" i="1"/>
  <c r="G57" i="1"/>
  <c r="O55" i="1"/>
  <c r="M55" i="1"/>
  <c r="L55" i="1"/>
  <c r="J55" i="1"/>
  <c r="I55" i="1"/>
  <c r="G55" i="1"/>
  <c r="M56" i="1"/>
  <c r="J56" i="1"/>
  <c r="M54" i="1"/>
  <c r="J54" i="1"/>
  <c r="G56" i="1"/>
  <c r="G54" i="1"/>
  <c r="F56" i="1"/>
  <c r="D54" i="1"/>
  <c r="D23" i="1"/>
  <c r="D40" i="1"/>
  <c r="AZ40" i="1" s="1"/>
  <c r="O50" i="1"/>
  <c r="M50" i="1"/>
  <c r="O48" i="1"/>
  <c r="M48" i="1"/>
  <c r="O46" i="1"/>
  <c r="M46" i="1"/>
  <c r="O44" i="1"/>
  <c r="M44" i="1"/>
  <c r="L50" i="1"/>
  <c r="J50" i="1"/>
  <c r="L48" i="1"/>
  <c r="J48" i="1"/>
  <c r="L46" i="1"/>
  <c r="J46" i="1"/>
  <c r="L44" i="1"/>
  <c r="J44" i="1"/>
  <c r="I50" i="1"/>
  <c r="G50" i="1"/>
  <c r="I48" i="1"/>
  <c r="G48" i="1"/>
  <c r="I46" i="1"/>
  <c r="G46" i="1"/>
  <c r="I44" i="1"/>
  <c r="G44" i="1"/>
  <c r="M49" i="1"/>
  <c r="M47" i="1"/>
  <c r="M45" i="1"/>
  <c r="M43" i="1"/>
  <c r="J49" i="1"/>
  <c r="J47" i="1"/>
  <c r="J45" i="1"/>
  <c r="J43" i="1"/>
  <c r="G49" i="1"/>
  <c r="G47" i="1"/>
  <c r="G45" i="1"/>
  <c r="G43" i="1"/>
  <c r="O39" i="1"/>
  <c r="M39" i="1"/>
  <c r="O37" i="1"/>
  <c r="M37" i="1"/>
  <c r="O35" i="1"/>
  <c r="M35" i="1"/>
  <c r="O33" i="1"/>
  <c r="M33" i="1"/>
  <c r="L39" i="1"/>
  <c r="J39" i="1"/>
  <c r="L37" i="1"/>
  <c r="J37" i="1"/>
  <c r="L35" i="1"/>
  <c r="J35" i="1"/>
  <c r="L33" i="1"/>
  <c r="J33" i="1"/>
  <c r="I39" i="1"/>
  <c r="G39" i="1"/>
  <c r="I37" i="1"/>
  <c r="G37" i="1"/>
  <c r="I35" i="1"/>
  <c r="G35" i="1"/>
  <c r="I33" i="1"/>
  <c r="G33" i="1"/>
  <c r="M38" i="1"/>
  <c r="J38" i="1"/>
  <c r="G38" i="1"/>
  <c r="M36" i="1"/>
  <c r="J36" i="1"/>
  <c r="G36" i="1"/>
  <c r="M34" i="1"/>
  <c r="J34" i="1"/>
  <c r="G34" i="1"/>
  <c r="M32" i="1"/>
  <c r="J32" i="1"/>
  <c r="G32" i="1"/>
  <c r="D26" i="1"/>
  <c r="D27" i="1"/>
  <c r="D24" i="1"/>
  <c r="D9" i="1"/>
  <c r="M16" i="1"/>
  <c r="G16" i="1"/>
  <c r="G15" i="1"/>
  <c r="D19" i="2"/>
  <c r="D15" i="1" s="1"/>
  <c r="D11" i="1"/>
  <c r="AZ10" i="1"/>
  <c r="D7" i="1"/>
  <c r="D8" i="1"/>
  <c r="D4" i="1"/>
  <c r="BO128" i="8" l="1"/>
  <c r="BO126" i="8"/>
  <c r="BO127" i="8"/>
  <c r="AW125" i="8"/>
  <c r="BN125" i="8"/>
  <c r="AW129" i="8"/>
  <c r="AW131" i="8" s="1"/>
  <c r="BN129" i="8"/>
  <c r="BO129" i="8" l="1"/>
  <c r="BO125" i="8"/>
  <c r="BN131" i="8"/>
  <c r="BN133" i="8" s="1"/>
  <c r="BQ129" i="8" s="1"/>
  <c r="BR129" i="8" s="1"/>
  <c r="BY129" i="8" s="1"/>
  <c r="BQ125" i="8" l="1"/>
  <c r="BQ130" i="8"/>
  <c r="BR130" i="8" s="1"/>
  <c r="BY130" i="8" s="1"/>
  <c r="BQ128" i="8"/>
  <c r="BR128" i="8" s="1"/>
  <c r="BY128" i="8" s="1"/>
  <c r="BQ126" i="8"/>
  <c r="BR126" i="8" s="1"/>
  <c r="BY126" i="8" s="1"/>
  <c r="BQ127" i="8"/>
  <c r="BR127" i="8" s="1"/>
  <c r="BY127" i="8" s="1"/>
  <c r="BO131" i="8"/>
  <c r="BO133" i="8" s="1"/>
  <c r="BR125" i="8" l="1"/>
  <c r="BQ131" i="8"/>
  <c r="BQ133" i="8" s="1"/>
  <c r="BR131" i="8" l="1"/>
  <c r="BY125" i="8"/>
  <c r="BR133" i="8" l="1"/>
  <c r="BY131" i="8"/>
  <c r="V253" i="8" l="1"/>
  <c r="X253" i="8"/>
  <c r="V254" i="8"/>
  <c r="X254" i="8"/>
  <c r="V255" i="8"/>
  <c r="X255" i="8"/>
  <c r="V256" i="8"/>
  <c r="X256" i="8"/>
</calcChain>
</file>

<file path=xl/sharedStrings.xml><?xml version="1.0" encoding="utf-8"?>
<sst xmlns="http://schemas.openxmlformats.org/spreadsheetml/2006/main" count="2132" uniqueCount="645">
  <si>
    <t>Unit</t>
  </si>
  <si>
    <t>min</t>
  </si>
  <si>
    <t>COSTS</t>
  </si>
  <si>
    <t>ENERGY IN- AND OUTPUTS</t>
  </si>
  <si>
    <t>MATERIAL FLOWS (OPTIONAL)</t>
  </si>
  <si>
    <t>Emissions</t>
  </si>
  <si>
    <t>Other</t>
  </si>
  <si>
    <t>OTHER</t>
  </si>
  <si>
    <t>Wind Onshore</t>
  </si>
  <si>
    <t xml:space="preserve">Onshore wind power is a mature technology, deployed worldwide. Asia, Europe and the United States show the highest total capacity. Wind turbines have grown significantly over the past decades, resulting in increased yield and at the same time cost reductions. </t>
  </si>
  <si>
    <t>TRL level 2020</t>
  </si>
  <si>
    <t>Capacity</t>
  </si>
  <si>
    <t>kW</t>
  </si>
  <si>
    <t>Potential</t>
  </si>
  <si>
    <t>-</t>
  </si>
  <si>
    <t>Market share</t>
  </si>
  <si>
    <t>%</t>
  </si>
  <si>
    <t>Capacity utlization factor</t>
  </si>
  <si>
    <t>Full-load running hours per year</t>
  </si>
  <si>
    <t xml:space="preserve"> </t>
  </si>
  <si>
    <t>Unit of Activity</t>
  </si>
  <si>
    <t>PJ/year</t>
  </si>
  <si>
    <t>Technical lifetime (years)</t>
  </si>
  <si>
    <t>Progress ratio</t>
  </si>
  <si>
    <t>Hourly profile</t>
  </si>
  <si>
    <t>No</t>
  </si>
  <si>
    <t>Investment costs</t>
  </si>
  <si>
    <t>€ / kW</t>
  </si>
  <si>
    <t>Other costs per year</t>
  </si>
  <si>
    <t xml:space="preserve">Fixed operational costs per year               (excl. fuel costs) </t>
  </si>
  <si>
    <t>Variable costs per year</t>
  </si>
  <si>
    <t>PJ</t>
  </si>
  <si>
    <t>Electricity</t>
  </si>
  <si>
    <t>GENERAL INSTRUCTIONS</t>
  </si>
  <si>
    <t>●</t>
  </si>
  <si>
    <t>The technology factsheet contains information about one specific option (e.g. capacity, potential, costs, energy and emission effects and supporting descriptions).</t>
  </si>
  <si>
    <t>The factsheet should be filled-in by technical experts in the technology field and used as a reference internally (e.g. input for OPERA model) and externally.</t>
  </si>
  <si>
    <t xml:space="preserve">The data in the technology factsheet is for technology options in the Netherlands and could be used for EU countries. </t>
  </si>
  <si>
    <t>A regular update of technology factsheet is required every 3-5 years.</t>
  </si>
  <si>
    <t>Read carefully the definitions and instructions for each parameter below and fill-in all data in the 'Data input' tab. The data will be automatically allocated in the factsheet (see 'Factsheet' tab).</t>
  </si>
  <si>
    <t>The 'Factsheet' tab is locked. If a change is necessary, please send a request to Silvana Gamboa or Koen Smekens.</t>
  </si>
  <si>
    <t>→</t>
  </si>
  <si>
    <r>
      <rPr>
        <b/>
        <i/>
        <sz val="12"/>
        <color theme="1"/>
        <rFont val="Calibri"/>
        <family val="2"/>
        <scheme val="minor"/>
      </rPr>
      <t>READ ME</t>
    </r>
    <r>
      <rPr>
        <i/>
        <sz val="12"/>
        <color theme="1"/>
        <rFont val="Calibri"/>
        <family val="2"/>
        <scheme val="minor"/>
      </rPr>
      <t>: Definitions of parameters and instructions. Units and conversions factors (incl. monetary conversions) are also found below.</t>
    </r>
  </si>
  <si>
    <r>
      <rPr>
        <b/>
        <i/>
        <sz val="12"/>
        <color theme="1"/>
        <rFont val="Calibri"/>
        <family val="2"/>
        <scheme val="minor"/>
      </rPr>
      <t>Data input:</t>
    </r>
    <r>
      <rPr>
        <i/>
        <sz val="12"/>
        <color theme="1"/>
        <rFont val="Calibri"/>
        <family val="2"/>
        <scheme val="minor"/>
      </rPr>
      <t xml:space="preserve"> Technology factsheet data to be filled-in by the expert.</t>
    </r>
  </si>
  <si>
    <r>
      <rPr>
        <b/>
        <i/>
        <sz val="12"/>
        <color theme="1"/>
        <rFont val="Calibri"/>
        <family val="2"/>
        <scheme val="minor"/>
      </rPr>
      <t xml:space="preserve">Technology Factsheet: </t>
    </r>
    <r>
      <rPr>
        <i/>
        <sz val="12"/>
        <color theme="1"/>
        <rFont val="Calibri"/>
        <family val="2"/>
        <scheme val="minor"/>
      </rPr>
      <t>Factsheet filled-in automatically from the data in the 'Data input' tab. This tab is protected.</t>
    </r>
  </si>
  <si>
    <r>
      <rPr>
        <b/>
        <i/>
        <sz val="12"/>
        <color theme="1"/>
        <rFont val="Calibri"/>
        <family val="2"/>
        <scheme val="minor"/>
      </rPr>
      <t>List:</t>
    </r>
    <r>
      <rPr>
        <i/>
        <sz val="12"/>
        <color theme="1"/>
        <rFont val="Calibri"/>
        <family val="2"/>
        <scheme val="minor"/>
      </rPr>
      <t xml:space="preserve"> Lists of sectors, units, energy carriers, etc. that are used in the 'Data input' tab (drop-down menu's)</t>
    </r>
  </si>
  <si>
    <r>
      <rPr>
        <b/>
        <i/>
        <sz val="12"/>
        <color theme="1"/>
        <rFont val="Calibri"/>
        <family val="2"/>
        <scheme val="minor"/>
      </rPr>
      <t>Calculations:</t>
    </r>
    <r>
      <rPr>
        <i/>
        <sz val="12"/>
        <color theme="1"/>
        <rFont val="Calibri"/>
        <family val="2"/>
        <scheme val="minor"/>
      </rPr>
      <t xml:space="preserve"> Here, calcuations, screen-shots and other references can be placed to back-up the data of the factsheet. Please note that the information placed here will not be included in the Technology Factsheet for disclosure.</t>
    </r>
  </si>
  <si>
    <r>
      <rPr>
        <b/>
        <i/>
        <sz val="12"/>
        <color theme="1"/>
        <rFont val="Calibri"/>
        <family val="2"/>
        <scheme val="minor"/>
      </rPr>
      <t xml:space="preserve">Visual representation: </t>
    </r>
    <r>
      <rPr>
        <i/>
        <sz val="12"/>
        <color theme="1"/>
        <rFont val="Calibri"/>
        <family val="2"/>
        <scheme val="minor"/>
      </rPr>
      <t xml:space="preserve">A relevant visual representation of the technology can be placed here. The image will be placed in the final technology factsheet to be disclosed. </t>
    </r>
  </si>
  <si>
    <t>PARAMETER</t>
  </si>
  <si>
    <t>DEFINITION</t>
  </si>
  <si>
    <t>HOW TO FILL-IN THE FACTSHEET?</t>
  </si>
  <si>
    <t>Sector</t>
  </si>
  <si>
    <t>To which sector the technology belongs to (according to OPERA classification).</t>
  </si>
  <si>
    <t xml:space="preserve">Select the sector from the drop-down menu. If the sector is not available in the menu, please specify in the field 'Other'. </t>
  </si>
  <si>
    <t>New sectors can be added to the drop-down menu within the tab 'List' upon request.</t>
  </si>
  <si>
    <t>ETS / Non-ETS</t>
  </si>
  <si>
    <t>Indicate if the technology falls within the Emissions Trading Scheme (ETS).</t>
  </si>
  <si>
    <t>Type of Technology</t>
  </si>
  <si>
    <t xml:space="preserve">Examples: renewable, saving, CCS, biomass, emission reduction, network (e.g. transformer), etc. </t>
  </si>
  <si>
    <t xml:space="preserve">Select the type of technology from the drop-down menu. New types of technologies can be added within the tab 'List' upon request. </t>
  </si>
  <si>
    <t>Description</t>
  </si>
  <si>
    <t xml:space="preserve">Description of the technology, including technology boundaries, components, applications, etc. </t>
  </si>
  <si>
    <t>The description is limited up to 700 characters.</t>
  </si>
  <si>
    <t xml:space="preserve">TRL </t>
  </si>
  <si>
    <t>Select the Technology Readiness Level (TRL) for 2020 based on the assessment below:</t>
  </si>
  <si>
    <t>Please specify data sources in the explanation box.</t>
  </si>
  <si>
    <t xml:space="preserve">NASA/DOD Technology Readiness Level </t>
  </si>
  <si>
    <t>TRL 9</t>
  </si>
  <si>
    <t>Actual system 'flight proven' through succesful mission operations</t>
  </si>
  <si>
    <t>TRL 8</t>
  </si>
  <si>
    <t>Actual system completed and 'flight qualified' through test and demonstration</t>
  </si>
  <si>
    <t>TRL 7</t>
  </si>
  <si>
    <t>System prototype demonstration in space environment</t>
  </si>
  <si>
    <t>TRL 6</t>
  </si>
  <si>
    <t>System/subsystem model or prototype demonstration in a relevant environment (ground or space)</t>
  </si>
  <si>
    <t>TRL 5</t>
  </si>
  <si>
    <t>Component and/or breadboard validation in relevant environment</t>
  </si>
  <si>
    <t>TRL 4</t>
  </si>
  <si>
    <t>Component and/or breadboard validation in laboratory environment</t>
  </si>
  <si>
    <t>TRL 3</t>
  </si>
  <si>
    <t>Analytical and experimental critical function and/or characteristic proof-of-concept</t>
  </si>
  <si>
    <t>TRL 2</t>
  </si>
  <si>
    <t>Technology concept and/or application formulated</t>
  </si>
  <si>
    <t>TRL 1</t>
  </si>
  <si>
    <t>Basic principles observed and reported</t>
  </si>
  <si>
    <t>TECHNICAL DIMENSIONS</t>
  </si>
  <si>
    <t>Factsheet Functional Unit</t>
  </si>
  <si>
    <t>Unit in which the capacity for production of the main output is expressed e.g. Mton or PJ</t>
  </si>
  <si>
    <t>The Factsheet Functional Unit chosen provides a reference for the other parameters (i.e. capacity) in order to keep consistency through the factsheet.</t>
  </si>
  <si>
    <t>Select the functional unit from the drop-down menu. Conversion factors are found at the bottom of this tab (please specify in the explanation box if other conversion factors are used).</t>
  </si>
  <si>
    <t xml:space="preserve">The typical technology capacity size or sizes if there is clear size dependent data. </t>
  </si>
  <si>
    <t xml:space="preserve">Technologies that differ largely in size (e.g. large and small scale) must be placed in different factsheets. </t>
  </si>
  <si>
    <t xml:space="preserve">Specify the Capacity value and its respective reference from up to 5 different data sources. Please aggregate all sources in the references and sources box at the bottom of 'Data input' tab. </t>
  </si>
  <si>
    <t xml:space="preserve">Data ranges (min,max) will be automatically allocated in the factsheet. </t>
  </si>
  <si>
    <t>How much of the technology option can be installed in The Netherlands or EU?</t>
  </si>
  <si>
    <t xml:space="preserve">Specify the Potential value and its respective reference from up to 5 different data sources. Please aggregate all sources in the references and sources box at the bottom of 'Data input' tab. </t>
  </si>
  <si>
    <t>Select which region is covered for the potential from the drop-down menu.</t>
  </si>
  <si>
    <t>Market share (Deployment share)</t>
  </si>
  <si>
    <t xml:space="preserve">Current market share and maximum expected market share in the future (2030 and 2050). </t>
  </si>
  <si>
    <t>Market share can be optional for some technologies, in that case, please specify the Potential instead or vice-versa.</t>
  </si>
  <si>
    <t xml:space="preserve">Only for competing technologies e.g. heat supply appliances for households such as heat pumps with a market share of 80% of the households. </t>
  </si>
  <si>
    <t xml:space="preserve">Specify the Market share and its respective reference from up to 5 different data sources. Please aggregate all sources in the references and sources box at the bottom of 'Data input' tab. </t>
  </si>
  <si>
    <t>Capacity utilization factor</t>
  </si>
  <si>
    <t xml:space="preserve">The capacity utilization factor is the percentage of the total capacity that is actually being utilized e.g. capacity expansion to absorb additional renewable electricity or over-dimensioning.  </t>
  </si>
  <si>
    <t>If the capacity utlization factor is not filled-in, the value will be automatically assigned as one.</t>
  </si>
  <si>
    <t>The typical number of hours that the technology in question operates per year.</t>
  </si>
  <si>
    <t>Unit of annual production (output) per year</t>
  </si>
  <si>
    <t xml:space="preserve">Select the activity unit from the drop-down menu. </t>
  </si>
  <si>
    <t>Activity (Cap2Act) (Optional)</t>
  </si>
  <si>
    <t>Actual annual production (output) per year</t>
  </si>
  <si>
    <t>Specify the value for Activity.</t>
  </si>
  <si>
    <t>Activity = Capacity*Load Factor</t>
  </si>
  <si>
    <t>Only relevant for infrastructure technologies (e.g. the amount of energy per hour that can be delivered)</t>
  </si>
  <si>
    <t>The total amount of years during which the technology can technically perform/function before it must be replaced.</t>
  </si>
  <si>
    <t>Progress ratio (PR) is the cost reduction factor achieved by a doubling of the cumulative installed capacity of a technology.
Learning rate (LR) = 1 – PR
The underlying formula is : Ci= α*Ccumi^b 
Ci = cost of unit i
α = constant (cost unit 1)
Ccumi = Cumulative capacity at time of unit i
b = learning elasticity
A doubling of total cumulative capacity reduces specific costs by a factor of 2b. In the usual case where b is negative, 2b (labelled the progress ratio, PR) is between zero and one. The complement of the progress ratio (1-PR) is called the learning rate (LR). A learning elasticity (b) of -0.32, for example, yields a progress ratio of 0.80 and a learning rate of 20%. This means that the specific capital cost of newly installed capacity decreases by 20% for each doubling of total installed capacity. On a double-logarithmic scale, the decrease in costs appears as a straight line.</t>
  </si>
  <si>
    <t>Is there an hourly profile for the technology?</t>
  </si>
  <si>
    <t>Select YES/NO</t>
  </si>
  <si>
    <t xml:space="preserve">COSTS </t>
  </si>
  <si>
    <t>Year of Euro</t>
  </si>
  <si>
    <t>All costs data must be specified as €2015</t>
  </si>
  <si>
    <t>If amounts are expresed in other currencies or in euros of another year (e.g. €2016), the amount has to be converted. See Monetary conversions at the bottom of the tab.</t>
  </si>
  <si>
    <t xml:space="preserve">Total investment costs (CAPEX) in (million) euro in 2020, 2030 and 2050 per functional unit (e.g. per MW, per PJ). </t>
  </si>
  <si>
    <t xml:space="preserve">Specify the Costs and their respective reference for 2020(current), 2030 and 2050 from up to 5 different data sources. Please aggregate all sources in the references and sources box at the bottom of 'Data input' tab. </t>
  </si>
  <si>
    <t xml:space="preserve">The investments costs are in the case of a new application of the technology. This includes purchase costs, construction costs, net equipment costs and installation costs. Excludes indirect costs, design and site-specific costs. </t>
  </si>
  <si>
    <t>Specify in the costs explanation box what specifically is included in the investment costs.</t>
  </si>
  <si>
    <t xml:space="preserve">The costs should not be annualized. Site-specific costs (greenfield/brownfield), pre-design costs, pre-construction costs, financing costs should be extracted from the total value. </t>
  </si>
  <si>
    <t xml:space="preserve">Other costs </t>
  </si>
  <si>
    <t>E.g. electricity connection costs,  demolition and removal costs of decommissioned installations.</t>
  </si>
  <si>
    <t>Please specify Other costs within the Costs explanation box.</t>
  </si>
  <si>
    <t>Data input same as above.</t>
  </si>
  <si>
    <t xml:space="preserve">Fixed operational costs (excluding fuel costs) </t>
  </si>
  <si>
    <t>Fixed operational costs are per year.</t>
  </si>
  <si>
    <t xml:space="preserve">Variable costs (excluding fuel costs) </t>
  </si>
  <si>
    <t>Variable costs are per year.</t>
  </si>
  <si>
    <t>Energy carriers</t>
  </si>
  <si>
    <t>Input/output of energy carriers per unit of the main output. The technology may consume/produce more than one input/output.</t>
  </si>
  <si>
    <t xml:space="preserve">Select the energy carrier from the drop-down menu (please specify the main output first). Other energy carriers can be added within the tab 'List' upon request. </t>
  </si>
  <si>
    <r>
      <t>For each technology, the amount of energy input/output to the process have to be filled in. The process may require more than one input e.g. available waste heat streams can be described as energy outputs or captured CO</t>
    </r>
    <r>
      <rPr>
        <vertAlign val="subscript"/>
        <sz val="12"/>
        <color theme="1"/>
        <rFont val="Calibri"/>
        <family val="2"/>
        <scheme val="minor"/>
      </rPr>
      <t>2</t>
    </r>
    <r>
      <rPr>
        <sz val="12"/>
        <color theme="1"/>
        <rFont val="Calibri"/>
        <family val="2"/>
        <scheme val="minor"/>
      </rPr>
      <t xml:space="preserve"> can also be seen as an output).</t>
    </r>
  </si>
  <si>
    <r>
      <t xml:space="preserve">Specify the values in PJ for 2020, 2030 and 2050 with their respective references from up to 5 different data sources. Please aggregate all sources in the references and sources box at the bottom of 'Data input' tab. </t>
    </r>
    <r>
      <rPr>
        <i/>
        <sz val="12"/>
        <color rgb="FFFF0000"/>
        <rFont val="Calibri"/>
        <family val="2"/>
        <scheme val="minor"/>
      </rPr>
      <t xml:space="preserve">Values should be expressed as a ratio per unit of main output whereas inputs should be expressed as positive and values for outputs as negative. </t>
    </r>
  </si>
  <si>
    <t xml:space="preserve">The value should correspond 'per unit of output' (e.g. output of natural gas with 60% efficiency). Explain the details (i.e. efficiency) in the explanation box. </t>
  </si>
  <si>
    <t>MATERIAL FLOWS (Optional)</t>
  </si>
  <si>
    <t xml:space="preserve">Material flows </t>
  </si>
  <si>
    <t xml:space="preserve">Optional except for technologies with activity level associated e.g. iron, steel, ammonia production, ethylene, ethene. </t>
  </si>
  <si>
    <t>Specify the material flows and units and add the values for 2020, 2030 and 2050 withtheir respective references from up to 5 difference data sources. Please aggregate all sources in the references and sources box at the bottom of 'Data input' tab.</t>
  </si>
  <si>
    <t xml:space="preserve">EMISSIONS </t>
  </si>
  <si>
    <t>Non-fuel/energy-related emissions or emissions reductions (e.g. CCS)</t>
  </si>
  <si>
    <t xml:space="preserve">Select the substance and unit from the drop-down menu. Other emissions can be added within the tab 'List' upon request. </t>
  </si>
  <si>
    <t>Specify the Emissions for 2020, 2030 and 2050 with their respective references from up to 5 difference data sources. Please aggregate all sources in the references and sources box at the bottom of 'Data input' tab.</t>
  </si>
  <si>
    <t>OTHER (Optional)</t>
  </si>
  <si>
    <t>Extra relevant parameters for specific technologies e.g. charge/discharge time for batteries, efficiency, etc.</t>
  </si>
  <si>
    <t xml:space="preserve">Specify the parameter and unit adding more details in the explanations box below the sub- section. Here, you can specify the relevance of this parameter for the specific technology and references.  </t>
  </si>
  <si>
    <t>You may add one single value in the main reference for 2020 (current) or add values for 2020, 2030 and 2050 with their respective references from up to 5 difference data sources. Please aggregate all sources in the references and sources box at the bottom of 'Data input' tab.</t>
  </si>
  <si>
    <t>REFERENCES AND SOURCES</t>
  </si>
  <si>
    <t>For data values: Add references for each value in their 'Reference' cell (i.e. author and year) and aggregate all references with complete description at the bottom of the 'Data input' tab (in order of importance). If more than 10 references, add other sources under 'Others' box.</t>
  </si>
  <si>
    <t>For complementary data and text: Add all data sources with complete description at the bottom of the 'Data input' tab (in order of importance or mostly used). You may link these references with text in the explanatory boxes. If more than 10 references, add other sources under 'Others' box.</t>
  </si>
  <si>
    <t>UNITS</t>
  </si>
  <si>
    <t>Bln vehicle - km</t>
  </si>
  <si>
    <t>Use this unit to represent transport technologies</t>
  </si>
  <si>
    <t>GWe</t>
  </si>
  <si>
    <t>Gigawatt electrical</t>
  </si>
  <si>
    <t>kton</t>
  </si>
  <si>
    <t>Kiloton</t>
  </si>
  <si>
    <t>Mton</t>
  </si>
  <si>
    <t>Megaton</t>
  </si>
  <si>
    <t>Mton ethene</t>
  </si>
  <si>
    <t>Megaton ethene</t>
  </si>
  <si>
    <t>Mton NH3</t>
  </si>
  <si>
    <t>Megaton Ammonia</t>
  </si>
  <si>
    <t>Mton steel</t>
  </si>
  <si>
    <t>Megaton steel</t>
  </si>
  <si>
    <t>Mvtg</t>
  </si>
  <si>
    <t>Million vehicles</t>
  </si>
  <si>
    <t>PetaJoule</t>
  </si>
  <si>
    <t>CONVERSION FACTORS</t>
  </si>
  <si>
    <t>COMMON CONVERSIONS</t>
  </si>
  <si>
    <r>
      <rPr>
        <sz val="12"/>
        <color theme="1"/>
        <rFont val="Calibri"/>
        <family val="2"/>
        <scheme val="minor"/>
      </rPr>
      <t>1 MJ = 10</t>
    </r>
    <r>
      <rPr>
        <vertAlign val="superscript"/>
        <sz val="12"/>
        <color theme="1"/>
        <rFont val="Calibri"/>
        <family val="2"/>
        <scheme val="minor"/>
      </rPr>
      <t>6</t>
    </r>
    <r>
      <rPr>
        <sz val="12"/>
        <color theme="1"/>
        <rFont val="Calibri"/>
        <family val="2"/>
        <scheme val="minor"/>
      </rPr>
      <t xml:space="preserve"> Joule</t>
    </r>
  </si>
  <si>
    <r>
      <rPr>
        <sz val="12"/>
        <color theme="1"/>
        <rFont val="Calibri"/>
        <family val="2"/>
        <scheme val="minor"/>
      </rPr>
      <t>1 GJ = 10</t>
    </r>
    <r>
      <rPr>
        <vertAlign val="superscript"/>
        <sz val="12"/>
        <color theme="1"/>
        <rFont val="Calibri"/>
        <family val="2"/>
        <scheme val="minor"/>
      </rPr>
      <t>9</t>
    </r>
    <r>
      <rPr>
        <sz val="12"/>
        <color theme="1"/>
        <rFont val="Calibri"/>
        <family val="2"/>
        <scheme val="minor"/>
      </rPr>
      <t xml:space="preserve"> Joule</t>
    </r>
  </si>
  <si>
    <r>
      <rPr>
        <sz val="12"/>
        <color theme="1"/>
        <rFont val="Calibri"/>
        <family val="2"/>
        <scheme val="minor"/>
      </rPr>
      <t>1 TJ = 10</t>
    </r>
    <r>
      <rPr>
        <vertAlign val="superscript"/>
        <sz val="12"/>
        <color theme="1"/>
        <rFont val="Calibri"/>
        <family val="2"/>
        <scheme val="minor"/>
      </rPr>
      <t>12</t>
    </r>
    <r>
      <rPr>
        <sz val="12"/>
        <color theme="1"/>
        <rFont val="Calibri"/>
        <family val="2"/>
        <scheme val="minor"/>
      </rPr>
      <t xml:space="preserve"> Joule</t>
    </r>
  </si>
  <si>
    <r>
      <rPr>
        <sz val="12"/>
        <color theme="1"/>
        <rFont val="Calibri"/>
        <family val="2"/>
        <scheme val="minor"/>
      </rPr>
      <t>1 PJ = 10</t>
    </r>
    <r>
      <rPr>
        <vertAlign val="superscript"/>
        <sz val="12"/>
        <color theme="1"/>
        <rFont val="Calibri"/>
        <family val="2"/>
        <scheme val="minor"/>
      </rPr>
      <t>15</t>
    </r>
    <r>
      <rPr>
        <sz val="12"/>
        <color theme="1"/>
        <rFont val="Calibri"/>
        <family val="2"/>
        <scheme val="minor"/>
      </rPr>
      <t xml:space="preserve"> Joule</t>
    </r>
  </si>
  <si>
    <t>1 MWh = 3,6 GJ</t>
  </si>
  <si>
    <t>1 GWh = 3,6 TJ</t>
  </si>
  <si>
    <t xml:space="preserve">1 TWh = 3,6 PJ </t>
  </si>
  <si>
    <t>OTHER CONVERSIONS</t>
  </si>
  <si>
    <t xml:space="preserve">The International Energy Agency offers a converter for energy units, you can find the converter in the link below: </t>
  </si>
  <si>
    <t>https://www.iea.org/statistics/resources/unitconverter/</t>
  </si>
  <si>
    <t>MONETARY CONVERSIONS</t>
  </si>
  <si>
    <t>If amounts are expresed in other currencies or in euros of another year (e.g. €2016), the amount has to be converted.</t>
  </si>
  <si>
    <r>
      <t xml:space="preserve">A standard method to correct for inflation is to use the </t>
    </r>
    <r>
      <rPr>
        <i/>
        <sz val="12"/>
        <color theme="1"/>
        <rFont val="Calibri"/>
        <family val="2"/>
        <scheme val="minor"/>
      </rPr>
      <t>Harmonised Index of Consumer Prices (HICP) (see below)</t>
    </r>
    <r>
      <rPr>
        <sz val="12"/>
        <color theme="1"/>
        <rFont val="Calibri"/>
        <family val="2"/>
        <scheme val="minor"/>
      </rPr>
      <t xml:space="preserve">. To convert an amount expressed in €2014 to €2017, it has to be multiplied by a factor (HICP 2017/ HICP 2014) = (101,40/99,79) = 1,016. </t>
    </r>
  </si>
  <si>
    <t>Harmonised Index of Consumer Prices (HICP) for the Netherlands:</t>
  </si>
  <si>
    <t>HICP (2015 =100)</t>
  </si>
  <si>
    <t xml:space="preserve">Source: https://goo.gl/rvWufC </t>
  </si>
  <si>
    <t>Statistics Netherlands (CBS), “Consumentenprijzen; Europees geharmoniseerde prijsindex 2015=100”</t>
  </si>
  <si>
    <t>(estimate)</t>
  </si>
  <si>
    <t>TEMPLATE VERSION - CHANGE LOG</t>
  </si>
  <si>
    <t>Last change date</t>
  </si>
  <si>
    <t>Changes</t>
  </si>
  <si>
    <t>Final version of template</t>
  </si>
  <si>
    <t>Factsheet name in dark blue in the 'Technology Factsheet' tab</t>
  </si>
  <si>
    <t>Change to decimal separator (.) and thousand separator (,)</t>
  </si>
  <si>
    <r>
      <t xml:space="preserve">Fix error in 'Other' section from 'Technology Factsheet' tab: Data input in D77 should come from </t>
    </r>
    <r>
      <rPr>
        <i/>
        <sz val="12"/>
        <color theme="1"/>
        <rFont val="Calibri"/>
        <family val="2"/>
        <scheme val="minor"/>
      </rPr>
      <t xml:space="preserve">Input Data!D87 </t>
    </r>
  </si>
  <si>
    <t>Update all values in the 'Technology Factsheet' tab to 2 decimals</t>
  </si>
  <si>
    <t>Cell 'Author name' added to the 'Data Input' tab</t>
  </si>
  <si>
    <t>FACTSHEET DATA INPUT</t>
  </si>
  <si>
    <t>Please fill-in here all technology option data including detailed references and sources at the bottom.</t>
  </si>
  <si>
    <t>TECHNOLOGY DESCRIPTION</t>
  </si>
  <si>
    <t>Name of technology option</t>
  </si>
  <si>
    <t>Date of factsheet</t>
  </si>
  <si>
    <t>Author name</t>
  </si>
  <si>
    <t>Luuk Beurskens</t>
  </si>
  <si>
    <t>Instructions:</t>
  </si>
  <si>
    <t>Electricity generation</t>
  </si>
  <si>
    <t>1) make use of the long description to summarize the technology description for ESDL; 2) mention the boundaries of technology potential and market share, if any (see 'context' session: range D22:E26 in this tab)</t>
  </si>
  <si>
    <t>Renewable</t>
  </si>
  <si>
    <t>ETS</t>
  </si>
  <si>
    <t>Short Description for ESDL</t>
  </si>
  <si>
    <t>Onshore wind power is a mature technology, deployed worldwide. Asia, Europe and the United States show the highest total capacity. Wind turbines have grown significantly over the past decades, resulting in increased yield and at the same time cost reductions. The larger the diameter of a wind turbine rotor, the larger the swept area, which increases quadratically with the length of a blade. This makes upscaling both technically and economically attractive. Usually, legal restrictions to tip height are in place, limiting the size of wind turbines. In order to benefit from further economies of scale, turbines are combined in wind parks. The turbine blades are driving a hub attached to an electric generator, located in the nacelle. The power is fed into the grid. Variability of the wind regime makes that the electricity supply capacity varies as well, from 0 MW in low wind or extremely stormy periods, up to maximum capacity at wind speeds within the design window. The yield of wind turbines strongly depends on the average annual wind conditions. Different wind classes require different turbine types. In this series of factsheets however, wind turbine characteristics do not vary in costs, but the main variable used is the yield, which depends on the regional wind speed. Six wind speed regions are defined for the Netherlands. The main information source for current onshore wind data is a meta study, performed in the Dutch subsidy scheme SDE++ (PBL 2021b). Future projections are based on combining projections from other reports with the SDE++ parameters.</t>
  </si>
  <si>
    <t>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t>
  </si>
  <si>
    <t>MW</t>
  </si>
  <si>
    <t>Functional Unit</t>
  </si>
  <si>
    <t>Main Source</t>
  </si>
  <si>
    <t>Source 2</t>
  </si>
  <si>
    <t>Source 3</t>
  </si>
  <si>
    <t>Source 4</t>
  </si>
  <si>
    <t>Source 5</t>
  </si>
  <si>
    <t>3-4</t>
  </si>
  <si>
    <t>Assumption</t>
  </si>
  <si>
    <t>Reference</t>
  </si>
  <si>
    <t>Context</t>
  </si>
  <si>
    <t>2020 (Current)</t>
  </si>
  <si>
    <t>NL</t>
  </si>
  <si>
    <t>8 - 10 GW</t>
  </si>
  <si>
    <t>12.8 GW</t>
  </si>
  <si>
    <t>CBS (2021)</t>
  </si>
  <si>
    <t>PBL (2021a)</t>
  </si>
  <si>
    <t>Assumption based on lit. range</t>
  </si>
  <si>
    <t>Gasunie (2018)</t>
  </si>
  <si>
    <t>Range: 5 - 16 GW, Netbeheer NL (2017)</t>
  </si>
  <si>
    <t xml:space="preserve">Berenschot (2018) </t>
  </si>
  <si>
    <t>Quintel (2019)</t>
  </si>
  <si>
    <t>Specify here the market</t>
  </si>
  <si>
    <t>Specify here (if not specified, value will be 1)</t>
  </si>
  <si>
    <t>2250 (2020), 2750 (2030) and 3000 (2050)</t>
  </si>
  <si>
    <t>Specify here</t>
  </si>
  <si>
    <t>20 year in 2020, 25 year from 2030 onwards</t>
  </si>
  <si>
    <t>Voor WoZ &gt;&gt;</t>
  </si>
  <si>
    <t xml:space="preserve">For 2030, the Climate Agreement introduces 11.5 GW offshore wind and 11,5 GW (49 TWh) offshore wind. </t>
  </si>
  <si>
    <t>Yes</t>
  </si>
  <si>
    <t xml:space="preserve">
Explanation</t>
  </si>
  <si>
    <r>
      <t xml:space="preserve">
'Dutch onshore wind capacity in 2020 was 4159 MW. This is lower than the 6 GW agreed in the </t>
    </r>
    <r>
      <rPr>
        <i/>
        <sz val="11"/>
        <rFont val="Calibri"/>
        <family val="2"/>
      </rPr>
      <t>Energieakkoord voor duurzame groei</t>
    </r>
    <r>
      <rPr>
        <sz val="11"/>
        <rFont val="Calibri"/>
        <family val="2"/>
      </rPr>
      <t xml:space="preserve"> (2013). PBL estimates in her </t>
    </r>
    <r>
      <rPr>
        <i/>
        <sz val="11"/>
        <rFont val="Calibri"/>
        <family val="2"/>
      </rPr>
      <t>Monitor concept-RES</t>
    </r>
    <r>
      <rPr>
        <sz val="11"/>
        <rFont val="Calibri"/>
        <family val="2"/>
      </rPr>
      <t xml:space="preserve"> (PBL, 2021a), based on an analysis of the draft regional energy strategies (RES), that the cumulatively planned electricity production from wind is around 30 TWh by 2030. This value includes plans where no decision has been made between solar PV and wind. Assuming an average full load factor of 2750 hours per year by 2030 the anticipated onshore wind power capacity would be around 11 GW. In the report an analysis of the pipeline of wind projects is also presented. From this, PBL estimates a minimum realisation of approximately 6.6 GW (18.5 TWh) by 2030, based on projects currently under development. Various studies for the Netherlands report long term realisations for 2050, ranging from 5 to 16 GW onshore wind power. The potential is not so much constrained in terms of space available, but it is a matter of ambition and societal acceptance. For the factsheet document, total Dutch onshore wind power potential is put at 15 GW by 2050, at a future average of 3000 full load hours resulting in 45 TWh. 
Wind speed category more than 8.5 m/s (dark red) gives approximately 450 MW (1.8 TWh) in 2050
Wind speed category between 8.0 and 8.5 m/s (red) gives approximately 1200 MW (4.4 TWh) in 2050
Wind speed category between 7.5 and 8.0 m/s (orange) gives approximately 2850 MW (9.6 TWh) in 2050
Wind speed category between 7.0 and 7.5 m/s (green) gives approximately 4350 MW (13.2 TWh) in 2050
Wind speed category between 6.75 and 7.0 m/s (light blue) gives approximately 1500 MW (4.1 TWh) in 2050
Wind speed category below  6.75 m/s (blue) gives approximately 4650 MW (11.8 TWh) in 2050
See the picture (RVO, 2021) for an indication of the average wind speeds throughout the Netherlands</t>
    </r>
  </si>
  <si>
    <t>Old data (2019):</t>
  </si>
  <si>
    <t xml:space="preserve">Reference year: €2015 - If amounts are expresed in other currencies or in euros of another year (e.g. €2014), the amount has to be converted. See conversion method in 'READ ME' tab. Costs are per unit of output. </t>
  </si>
  <si>
    <t xml:space="preserve">mln. € / </t>
  </si>
  <si>
    <t>PBL (2021b)</t>
  </si>
  <si>
    <t>WindEurope 2021</t>
  </si>
  <si>
    <t>IRENA 2019, Ecofys 2018 and JRC 2018</t>
  </si>
  <si>
    <t>Fixed operational costs per year (excl. fuel costs)</t>
  </si>
  <si>
    <t>Variable costs per year (exc. Fuel costs)</t>
  </si>
  <si>
    <t>MWh</t>
  </si>
  <si>
    <t>Costs explanation</t>
  </si>
  <si>
    <t>For the year 2020 reference is made to PBL (2021b), which assesses in detail the costs of Dutch onshore wind power projects. The projection towards 2030 and 2050 is made based on multiple scenarios assessed in IRENA (2019), Ecofys (2018) and JRC (2018). The minimum and maximum values have been based on data ranges observed in WindEurope (2021).</t>
  </si>
  <si>
    <t xml:space="preserve">Values expressed as a ratio per unit of main output. Inputs  as positive and outputs as negative. </t>
  </si>
  <si>
    <t>Energy carrier</t>
  </si>
  <si>
    <t>Energy carriers (per unit of main output)</t>
  </si>
  <si>
    <t>Wind energy</t>
  </si>
  <si>
    <t>Please select</t>
  </si>
  <si>
    <t>Energy in- and Outputs explanation</t>
  </si>
  <si>
    <t>Explain here (e.g. flexible in and out)</t>
  </si>
  <si>
    <t>Material flows</t>
  </si>
  <si>
    <t>Material</t>
  </si>
  <si>
    <t>Material flows explanation</t>
  </si>
  <si>
    <t>Explain here</t>
  </si>
  <si>
    <t>EMISSIONS (Non-fuel/energy-related emissions or emissions reductions (e.g. CCS)</t>
  </si>
  <si>
    <t>Substance</t>
  </si>
  <si>
    <t>Emissions explanation</t>
  </si>
  <si>
    <t>Explain here (e.g. emission factors if calculated)</t>
  </si>
  <si>
    <t>Specify below the other relevant parameters for the specific technology</t>
  </si>
  <si>
    <t>Add here</t>
  </si>
  <si>
    <t>Explanation</t>
  </si>
  <si>
    <t>CBS 2021, Hernieuwbare elektriciteit; productie en vermogen, 2021 , https://www.cbs.nl/nl-nl/cijfers/detail/82610NED</t>
  </si>
  <si>
    <t>Global Wind Report 2021, GWEC, 2021, https://gwec.net/global-wind-report-2021</t>
  </si>
  <si>
    <t>JRC 2018, Cost development of low carbon energy technologies: Scenario-based cost trajectories to 2050, 2017 edition, Tsiropoulos, I., Tarvydas, D. and Zucker, A., https://publications.jrc.ec.europa.eu/repository/handle/JRC109894</t>
  </si>
  <si>
    <t>Quintel 2019, RES-regio's in het Energietransitiemodel, https://quintel.com/res (sourced August 2019)</t>
  </si>
  <si>
    <t>Gasunie (2018), Verkenning 2050, Gasunie, 2018, https://www.gasunie.nl/expertise/aardgas/energiemix-2050</t>
  </si>
  <si>
    <t xml:space="preserve">CE Delft (2017), Net voor de Toekomst, 2017, https://ce.nl/publicaties/net-voor-de-toekomst </t>
  </si>
  <si>
    <t>Berenschot (2018), Het ‘warmtescenario’: Beelden van een op warmte gerichte energievoorziening in 2030 en 2050, Scenariostudie ten behoeve van het Klimaatakkoord, Eindrapport, Utrecht, september 2018, https://www.berenschot.nl/media/352kcpid/cases-het_warmtescenario.pdf</t>
  </si>
  <si>
    <t>SER (2013) Energieakkoord voor duurzame groei, SER, 2013 https://www.ser.nl/nl/thema/energie-en-duurzaamheid/energieakkoord</t>
  </si>
  <si>
    <t>RVO (2019), RVO, 2019, https://www.rijksoverheid.nl/documenten/rapporten/2020/06/26/bijlage-monitor-wind-op-land-2019</t>
  </si>
  <si>
    <t>PBL (2021a) Monitor concept-RES, PBL, 2021, https://www.pbl.nl/publicaties/monitor-concept-res</t>
  </si>
  <si>
    <t>RVO (2021), Windkaart windsnelheid per gemeente, RVO, februari 2021, https://www.rvo.nl/sites/default/files/2021/02/Windkaart%20windsnelheid%20per%20gemeente%20versie%20februari%202021.pdf</t>
  </si>
  <si>
    <t xml:space="preserve">WindEurope (2021) Getting fit for 55 and set for 2050, Electrifying Europe with wind energy, ETIP Wind, WindEurope, June 2021, https://etipwind.eu/publications/getting-fit-for-55 </t>
  </si>
  <si>
    <t>PBL (2021b) Eindadvies basisbedragen SDE++ 2021, PBL, 2021, https://www.pbl.nl/publicaties/eindadvies-basisbedragen-sde-plus-plus-2021</t>
  </si>
  <si>
    <t>IRENA (2019) Future of wind, Deployment, investment, technology, grid integration and socio-economic  aspects, October 2019, IRENA, https://www.irena.org/publications/2019/Oct/Future-of-wind</t>
  </si>
  <si>
    <t>Ecofys (2018), Kostprijs van zon-pv en wind in 2030, Ecofys, https://www.nvde.nl/wp-content/uploads/2018/06/NVDE_Kostendalingen-zon-PV-en-wind.pdf</t>
  </si>
  <si>
    <t>Others</t>
  </si>
  <si>
    <t>Add other sources here</t>
  </si>
  <si>
    <t>TECHNOLOGY FACTSHEET</t>
  </si>
  <si>
    <t>Author</t>
  </si>
  <si>
    <t>Let op:</t>
  </si>
  <si>
    <t>Beveiliging is van dit worksheet gehaald!</t>
  </si>
  <si>
    <t>Value and Range</t>
  </si>
  <si>
    <t>Current</t>
  </si>
  <si>
    <t>−</t>
  </si>
  <si>
    <t>Euro per Functional Unit</t>
  </si>
  <si>
    <t>Main output:</t>
  </si>
  <si>
    <t>Parameter</t>
  </si>
  <si>
    <t>Sectors:</t>
  </si>
  <si>
    <t>Type of Technology:</t>
  </si>
  <si>
    <t>Functional Units Capacity:</t>
  </si>
  <si>
    <t>Functional Units Activity:</t>
  </si>
  <si>
    <t>Variable costs units:</t>
  </si>
  <si>
    <t xml:space="preserve">Energy carriers: </t>
  </si>
  <si>
    <t>Energy Carriers Units:</t>
  </si>
  <si>
    <t>Material flows:</t>
  </si>
  <si>
    <t>Emissions:</t>
  </si>
  <si>
    <t>Emissions Units:</t>
  </si>
  <si>
    <t>Please select main output here</t>
  </si>
  <si>
    <t>Please select based on chosen Functional Unit</t>
  </si>
  <si>
    <t>Agriculture: Horticulture</t>
  </si>
  <si>
    <t>Biomass</t>
  </si>
  <si>
    <t>Bln vehicle - km/year</t>
  </si>
  <si>
    <t>Ambient heat</t>
  </si>
  <si>
    <t>CH4</t>
  </si>
  <si>
    <t>Non-ETS</t>
  </si>
  <si>
    <t>Agriculture: Other</t>
  </si>
  <si>
    <t>CCS</t>
  </si>
  <si>
    <t>Biobenzine</t>
  </si>
  <si>
    <t>Add here -&gt;</t>
  </si>
  <si>
    <t>CO2</t>
  </si>
  <si>
    <t>Emission reduction</t>
  </si>
  <si>
    <t>kton/year</t>
  </si>
  <si>
    <t>kWh</t>
  </si>
  <si>
    <t>Biodiesel</t>
  </si>
  <si>
    <t>F-gassen</t>
  </si>
  <si>
    <t>Mton CO2-eq</t>
  </si>
  <si>
    <t>Gas supply</t>
  </si>
  <si>
    <t>Energy saving</t>
  </si>
  <si>
    <t>Mton/year</t>
  </si>
  <si>
    <t>Biofuels</t>
  </si>
  <si>
    <t>N2O</t>
  </si>
  <si>
    <t>Households</t>
  </si>
  <si>
    <t>Mton ethene/year</t>
  </si>
  <si>
    <t>Biofuels FT</t>
  </si>
  <si>
    <t>Fijn stof PM10</t>
  </si>
  <si>
    <t>Hydrogen</t>
  </si>
  <si>
    <t>CHP</t>
  </si>
  <si>
    <t>Mton NH3/year</t>
  </si>
  <si>
    <t>Biogas</t>
  </si>
  <si>
    <t>Fijn stof PM2,5</t>
  </si>
  <si>
    <t>Industry: Anorganic chemics</t>
  </si>
  <si>
    <t>Network</t>
  </si>
  <si>
    <t>Mton steel/year</t>
  </si>
  <si>
    <t>Bio-LPG</t>
  </si>
  <si>
    <t>SO2</t>
  </si>
  <si>
    <t>Please select the region</t>
  </si>
  <si>
    <t>Industry: Chemics</t>
  </si>
  <si>
    <t>Storage</t>
  </si>
  <si>
    <t>Biomass (coferment)</t>
  </si>
  <si>
    <t>NH3</t>
  </si>
  <si>
    <t>Industry: Construction</t>
  </si>
  <si>
    <t xml:space="preserve">Electrolysis </t>
  </si>
  <si>
    <t>Biomass (VFG &amp; FBI)</t>
  </si>
  <si>
    <t>NMVOS</t>
  </si>
  <si>
    <t>EU</t>
  </si>
  <si>
    <t>Industry: Fertiliser</t>
  </si>
  <si>
    <t>MWth</t>
  </si>
  <si>
    <t>Biomass (high quality)</t>
  </si>
  <si>
    <t>NOx</t>
  </si>
  <si>
    <t>Global</t>
  </si>
  <si>
    <t>Industry: Generic</t>
  </si>
  <si>
    <t>Biomass (manure)</t>
  </si>
  <si>
    <t>Industry: Iron and steel</t>
  </si>
  <si>
    <t>Biomass (starch)</t>
  </si>
  <si>
    <t>Industry: Non ETS</t>
  </si>
  <si>
    <t>Biomass (sugars)</t>
  </si>
  <si>
    <t xml:space="preserve">€ / </t>
  </si>
  <si>
    <t>Industry: Petrochemics</t>
  </si>
  <si>
    <t>Biomass (waste biogenic)</t>
  </si>
  <si>
    <t>Mobile machinery</t>
  </si>
  <si>
    <t>Biomass (wet streams)</t>
  </si>
  <si>
    <t>Refineries</t>
  </si>
  <si>
    <t>Biomass (wood import)</t>
  </si>
  <si>
    <t>Trade, services and utilities</t>
  </si>
  <si>
    <t>Biomass (wood domestic)</t>
  </si>
  <si>
    <t>Transport</t>
  </si>
  <si>
    <t>Biomass (wood)</t>
  </si>
  <si>
    <t>Bio-waste gases</t>
  </si>
  <si>
    <t>Blast furnace gas</t>
  </si>
  <si>
    <t>CCF gas</t>
  </si>
  <si>
    <t>Chemical residual gas</t>
  </si>
  <si>
    <t>Coal</t>
  </si>
  <si>
    <t>Coke</t>
  </si>
  <si>
    <t>Coke oven gas</t>
  </si>
  <si>
    <t>Coking coal</t>
  </si>
  <si>
    <t>Diesel</t>
  </si>
  <si>
    <t>Energy content manure</t>
  </si>
  <si>
    <t>Fermentation gas</t>
  </si>
  <si>
    <t>Gasoline</t>
  </si>
  <si>
    <t>Geothermal heat</t>
  </si>
  <si>
    <t>Heat</t>
  </si>
  <si>
    <t>Heavy fuel oil</t>
  </si>
  <si>
    <t>Import electricity</t>
  </si>
  <si>
    <t>Injection coal</t>
  </si>
  <si>
    <t>LPG</t>
  </si>
  <si>
    <t>Natural gas</t>
  </si>
  <si>
    <t>Natural gas feedstock</t>
  </si>
  <si>
    <t>Oil</t>
  </si>
  <si>
    <t>Oil excluding gases</t>
  </si>
  <si>
    <t>Oil raw materials</t>
  </si>
  <si>
    <t>Other bio-oil products</t>
  </si>
  <si>
    <t>Other oil products</t>
  </si>
  <si>
    <t>Residual gases</t>
  </si>
  <si>
    <t>Solar energy</t>
  </si>
  <si>
    <t>Synthetic fuels</t>
  </si>
  <si>
    <t>Uranium</t>
  </si>
  <si>
    <t>Waste (non-biogenic)</t>
  </si>
  <si>
    <t>Benzine</t>
  </si>
  <si>
    <t>Bioethanol</t>
  </si>
  <si>
    <t>Coal excluding gases</t>
  </si>
  <si>
    <t>Electricity import</t>
  </si>
  <si>
    <t>Fuel oil</t>
  </si>
  <si>
    <t>High Pressure Steam</t>
  </si>
  <si>
    <t>Hydro</t>
  </si>
  <si>
    <t>Kerosene</t>
  </si>
  <si>
    <t>Oil feedstock</t>
  </si>
  <si>
    <t>Oil products</t>
  </si>
  <si>
    <t>Propane</t>
  </si>
  <si>
    <t>SNG</t>
  </si>
  <si>
    <t>Steam</t>
  </si>
  <si>
    <t>BioHFO</t>
  </si>
  <si>
    <t>Biokerosene</t>
  </si>
  <si>
    <t>Biomass (UFO import)</t>
  </si>
  <si>
    <t>ADD CALCULATIONS AND OTHER REFERENCES HERE (OPTIONAL)</t>
  </si>
  <si>
    <r>
      <t xml:space="preserve">Please note that the information placed here will </t>
    </r>
    <r>
      <rPr>
        <i/>
        <u/>
        <sz val="12"/>
        <color rgb="FFFF0000"/>
        <rFont val="Calibri"/>
        <family val="2"/>
        <scheme val="minor"/>
      </rPr>
      <t>not</t>
    </r>
    <r>
      <rPr>
        <i/>
        <sz val="12"/>
        <color rgb="FFFF0000"/>
        <rFont val="Calibri"/>
        <family val="2"/>
        <scheme val="minor"/>
      </rPr>
      <t xml:space="preserve"> be included in the Technology Factsheet for disclosure, therefore all relevant details and sources used must be specified in the 'Data input' tab.</t>
    </r>
  </si>
  <si>
    <t>Average</t>
  </si>
  <si>
    <t>Min</t>
  </si>
  <si>
    <t>Max</t>
  </si>
  <si>
    <t>Wind onshore</t>
  </si>
  <si>
    <t>EUR2019</t>
  </si>
  <si>
    <t>EUR2015/kW</t>
  </si>
  <si>
    <t>Door RVO wordt op basis van deze monitor ingeschat dat circa 5.153 MW operationeel vermogen in 2020 haalbaar is.</t>
  </si>
  <si>
    <t>Monitor Wind op Land, Vijfde editie, 31 maart 2018, door RVO in opdracht van het Kernteam Wind op Land</t>
  </si>
  <si>
    <t>https://www.tweedekamer.nl/downloads/document?id=d4a0cc14-9d15-4b86-b01d-42be0db3fb2a&amp;title=Monitor%20Wind%20op%20Land%202017.pdf</t>
  </si>
  <si>
    <t>MEUR2015/MW</t>
  </si>
  <si>
    <t>Source</t>
  </si>
  <si>
    <t>SDE</t>
  </si>
  <si>
    <t xml:space="preserve">A standard method to correct for inflation is to use the Harmonised Index of Consumer Prices (HICP) (see below). To convert an amount expressed in €2014 to €2017, it has to be multiplied by a factor (HICP 2017/ HICP 2014) = (101,40/99,79) = 1,016. </t>
  </si>
  <si>
    <t>HICP2019=</t>
  </si>
  <si>
    <t>IRENA</t>
  </si>
  <si>
    <t>Geen recent twerk</t>
  </si>
  <si>
    <t>HICP2015=</t>
  </si>
  <si>
    <t>ETRI</t>
  </si>
  <si>
    <t>Gebruik analyse MKBA CE</t>
  </si>
  <si>
    <t>Conceptadvies SDE++ 2020, Windenergie op land</t>
  </si>
  <si>
    <t>Eeke Mast, Iulia Pisca</t>
  </si>
  <si>
    <t>mei 2019</t>
  </si>
  <si>
    <t>https://www.pbl.nl/sites/default/files/cms/publicaties/pbl-2019-conceptadvies-sde-plus-plus-2020-wind-op-land_3691.pdf</t>
  </si>
  <si>
    <t>Costs</t>
  </si>
  <si>
    <t>MEUR/MW</t>
  </si>
  <si>
    <t>vermogen</t>
  </si>
  <si>
    <t>Vaste O&amp;M-kosten</t>
  </si>
  <si>
    <t>EUR/kW/jaar</t>
  </si>
  <si>
    <t>Vollasturen</t>
  </si>
  <si>
    <t>uren/jaar</t>
  </si>
  <si>
    <t>Per kW jaarlijkse elektriciteitsopbrengst</t>
  </si>
  <si>
    <t>energie</t>
  </si>
  <si>
    <t>1 kWh =</t>
  </si>
  <si>
    <t>MEUR/PJ/jaar</t>
  </si>
  <si>
    <t>grondkosten</t>
  </si>
  <si>
    <t>Opslag voor transactiekosten, basisprijspremie</t>
  </si>
  <si>
    <t>Variabele O&amp;M-kosten</t>
  </si>
  <si>
    <t>EUR/kWh</t>
  </si>
  <si>
    <t>Dit zijn grondkosten</t>
  </si>
  <si>
    <t>EUR/kW</t>
  </si>
  <si>
    <t>Variabele kosten per jaar</t>
  </si>
  <si>
    <t>MEUR/MWh</t>
  </si>
  <si>
    <t>Totaal variable kosten</t>
  </si>
  <si>
    <t>Elektriciteit uit 1 MW windpower</t>
  </si>
  <si>
    <t>Check ordergrootte wind volgens quintel</t>
  </si>
  <si>
    <t>SDE++ wind speed regions</t>
  </si>
  <si>
    <t>verdeling 35 TWh</t>
  </si>
  <si>
    <t>Potentie</t>
  </si>
  <si>
    <t>obv potentie</t>
  </si>
  <si>
    <t>wind</t>
  </si>
  <si>
    <t>Actual FLH</t>
  </si>
  <si>
    <t>AVEREGE 3000 FLH</t>
  </si>
  <si>
    <t>adjusted</t>
  </si>
  <si>
    <t>Rounded</t>
  </si>
  <si>
    <t>Adjusted value to yield 3000 FLH on average</t>
  </si>
  <si>
    <t>getelde</t>
  </si>
  <si>
    <t>Vermogen</t>
  </si>
  <si>
    <t>Energie</t>
  </si>
  <si>
    <t>Potentieel [GW]</t>
  </si>
  <si>
    <t>pixels</t>
  </si>
  <si>
    <t>aandeel</t>
  </si>
  <si>
    <t>MW (afgerond)</t>
  </si>
  <si>
    <t>[uur/jaar]</t>
  </si>
  <si>
    <t>[TWh]</t>
  </si>
  <si>
    <t>WEIGTHED</t>
  </si>
  <si>
    <t>yield [GWh]</t>
  </si>
  <si>
    <t>yield [TWh]</t>
  </si>
  <si>
    <t>&gt;= 8.5</t>
  </si>
  <si>
    <t>rood</t>
  </si>
  <si>
    <t>Wind speed category: more than 8.5 m/s</t>
  </si>
  <si>
    <t>Wind speed category more than 8.5 m/s</t>
  </si>
  <si>
    <t>8.0 - 8.5</t>
  </si>
  <si>
    <t>donkeroranje</t>
  </si>
  <si>
    <t>Wind speed category: between 8.0 and 8.5 m/s</t>
  </si>
  <si>
    <t>Wind speed category between 8.0 and 8.5 m/s</t>
  </si>
  <si>
    <t>7.5 - 8.0</t>
  </si>
  <si>
    <t>lichtoranje</t>
  </si>
  <si>
    <t>Wind speed category: between 7.5 and 8.0 m/s</t>
  </si>
  <si>
    <t>Wind speed category between 7.5 and 8.0 m/s</t>
  </si>
  <si>
    <t>7.0 - 7.5</t>
  </si>
  <si>
    <t>geel</t>
  </si>
  <si>
    <t>Wind speed category: between 7.0 and 7.5 m/s</t>
  </si>
  <si>
    <t>Wind speed category between 7.0 and 7.5 m/s</t>
  </si>
  <si>
    <t>6.75 - 7.0</t>
  </si>
  <si>
    <t>groen</t>
  </si>
  <si>
    <t>Wind speed category: between 6.75 and 7.0 m/s</t>
  </si>
  <si>
    <t>Wind speed category between 6.75 and 7.0 m/s</t>
  </si>
  <si>
    <t xml:space="preserve"> &lt; 6.75</t>
  </si>
  <si>
    <t>blauw</t>
  </si>
  <si>
    <t>Wind speed category: below  6.75 m/s</t>
  </si>
  <si>
    <t>Wind speed category below  6.75 m/s</t>
  </si>
  <si>
    <t>Totaal</t>
  </si>
  <si>
    <t>Total potential in 2050 at comparable geografical density</t>
  </si>
  <si>
    <t>Totaal vermogen</t>
  </si>
  <si>
    <t>GW</t>
  </si>
  <si>
    <t>FLH 2050:</t>
  </si>
  <si>
    <t>TWh</t>
  </si>
  <si>
    <t>VLH =</t>
  </si>
  <si>
    <t>&lt;&lt; the 12,8 GW is the amount of capacity envisaged by Quintel, but this is without PV.</t>
  </si>
  <si>
    <t>Source:</t>
  </si>
  <si>
    <t>https://quintel.com/res</t>
  </si>
  <si>
    <t>max wind (including PV or Wind):</t>
  </si>
  <si>
    <t>Full load hrs by 2030</t>
  </si>
  <si>
    <t>hrs/year</t>
  </si>
  <si>
    <t>Capacity:</t>
  </si>
  <si>
    <t>onderste balk links</t>
  </si>
  <si>
    <t>onderste balk rechts</t>
  </si>
  <si>
    <t>pixels tussen 6 en 8:</t>
  </si>
  <si>
    <t>pixels tussen 15 en 20:</t>
  </si>
  <si>
    <t>pixels uitstekend boven 6:</t>
  </si>
  <si>
    <t>pixels uitstekend boven 15:</t>
  </si>
  <si>
    <t>Lenget balk totaal:</t>
  </si>
  <si>
    <t>Uit memo van augustus 2020:</t>
  </si>
  <si>
    <t>Vollasturen voor PBL gebruikt:</t>
  </si>
  <si>
    <t>CAPEX [€/kW]</t>
  </si>
  <si>
    <t>Fix O&amp;M [€/kW]</t>
  </si>
  <si>
    <t>Variable O&amp;M [€/kWh]</t>
  </si>
  <si>
    <t>Full load hours [h/yr]</t>
  </si>
  <si>
    <t>Economic lifetime [yr]</t>
  </si>
  <si>
    <t>Monetary year</t>
  </si>
  <si>
    <t>EUR2020</t>
  </si>
  <si>
    <t>SDE++ 2021</t>
  </si>
  <si>
    <t>IRENA 2019, Ecofys 2018 and ETRI 2018</t>
  </si>
  <si>
    <t>CONVERSION</t>
  </si>
  <si>
    <t>TO EUR 2015</t>
  </si>
  <si>
    <t>100 EUR2015 =</t>
  </si>
  <si>
    <t xml:space="preserve"> To convert an amount expressed in €2014 to €2017, it has to be multiplied by a factor (HICP 2017/ HICP 2014) = (101,40/99,79) = 1,016. </t>
  </si>
  <si>
    <t>Factor for multiplication:</t>
  </si>
  <si>
    <t>Factor 1000 to arrive at MEUR/MW.</t>
  </si>
  <si>
    <t>CAPEX</t>
  </si>
  <si>
    <t>OPEX</t>
  </si>
  <si>
    <t>mean</t>
  </si>
  <si>
    <t xml:space="preserve">max </t>
  </si>
  <si>
    <t>Years</t>
  </si>
  <si>
    <t>CAPEX_low</t>
  </si>
  <si>
    <t>CAPEX_mid</t>
  </si>
  <si>
    <t>CAPEX_high</t>
  </si>
  <si>
    <t>OPEX_low</t>
  </si>
  <si>
    <t>OPEX_mid</t>
  </si>
  <si>
    <t>OPEX_high</t>
  </si>
  <si>
    <t>IRENA 2019, 
Ecofys 2018 
and ETRI 2018</t>
  </si>
  <si>
    <t>FOR O&amp;M ranges:</t>
  </si>
  <si>
    <t>Ranges following from the lower and higher variants:</t>
  </si>
  <si>
    <t>Low</t>
  </si>
  <si>
    <t>high</t>
  </si>
  <si>
    <t>low</t>
  </si>
  <si>
    <t>EUR2015</t>
  </si>
  <si>
    <t>Input assumptions on learning rate method for onshore wind energy</t>
  </si>
  <si>
    <t>Input assumptions on learning rate method for offshore wind energy</t>
  </si>
  <si>
    <t>Global deployment</t>
  </si>
  <si>
    <t>Baseline</t>
  </si>
  <si>
    <t>Diversified</t>
  </si>
  <si>
    <t>ProRES</t>
  </si>
  <si>
    <t>Global capacity additions</t>
  </si>
  <si>
    <t>GW/year</t>
  </si>
  <si>
    <t>Learning rate</t>
  </si>
  <si>
    <t>High</t>
  </si>
  <si>
    <t>Lifetime</t>
  </si>
  <si>
    <t>Capital investment cost trajectories of onshore wind turbines (low specific capacity, high hub height)</t>
  </si>
  <si>
    <t>Capital investment cost trajectories of offshore wind turbines (monopole, medium distance to shore)</t>
  </si>
  <si>
    <t>Capital investment costs</t>
  </si>
  <si>
    <t>EUR 2015/kW</t>
  </si>
  <si>
    <t>O&amp;M costs</t>
  </si>
  <si>
    <r>
      <t>%</t>
    </r>
    <r>
      <rPr>
        <vertAlign val="subscript"/>
        <sz val="10"/>
        <color rgb="FF000000"/>
        <rFont val="Verdana"/>
        <family val="2"/>
      </rPr>
      <t>CAPEX</t>
    </r>
  </si>
  <si>
    <t>Capital investment cost trajectories of onshore wind turbines (medium specific capacity, medium hub height)</t>
  </si>
  <si>
    <t>Capital investment cost trajectories of offshore wind turbines (jacket, medium distance to shore)</t>
  </si>
  <si>
    <t>Capital investment cost trajectories of onshore wind turbines (high specific capacity, low hub height)</t>
  </si>
  <si>
    <t>Capital investment cost trajectories of offshore wind turbines (floating, long distance to shore)</t>
  </si>
  <si>
    <t>ADD VISUAL REPRESENTATION OF TECHNOLOGY HERE (OPTIONAL)</t>
  </si>
  <si>
    <t>If available, a visual representation of the technology can be placed here (including sources) to complement the technology description.</t>
  </si>
  <si>
    <t>Please note that the image will be placed in Technology Factsheet to be disclosed, other non-relevant images can be placed in the 'Calculations' tab.</t>
  </si>
  <si>
    <t>CHANGE LOG</t>
  </si>
  <si>
    <t>Version:</t>
  </si>
  <si>
    <t>1.1</t>
  </si>
  <si>
    <t>Date:</t>
  </si>
  <si>
    <t>Updates:</t>
  </si>
  <si>
    <t>Visual representation</t>
  </si>
  <si>
    <t>Decimals</t>
  </si>
  <si>
    <t>mln. Euro/Euro</t>
  </si>
  <si>
    <t>Variable costs MWh/PJ/kWh</t>
  </si>
  <si>
    <t>Name of technology option (bigger)</t>
  </si>
  <si>
    <t>ECN part of TNO logo</t>
  </si>
  <si>
    <t>Date</t>
  </si>
  <si>
    <t>Old</t>
  </si>
  <si>
    <t>New</t>
  </si>
  <si>
    <t>Comment</t>
  </si>
  <si>
    <t>Potential unit</t>
  </si>
  <si>
    <t>Potential value 2020</t>
  </si>
  <si>
    <t>Costs unit</t>
  </si>
  <si>
    <t>mln. € / MW</t>
  </si>
  <si>
    <t>Investments costs 2020</t>
  </si>
  <si>
    <t>Investments costs 2030</t>
  </si>
  <si>
    <t>Investments costs 2050</t>
  </si>
  <si>
    <t>Investment costs min and max values</t>
  </si>
  <si>
    <t>Operational costs per year 2020</t>
  </si>
  <si>
    <t>Operational costs per year 2030</t>
  </si>
  <si>
    <t>Operational costs per year 2050</t>
  </si>
  <si>
    <t xml:space="preserve">Costs decimals in factsheets </t>
  </si>
  <si>
    <t xml:space="preserve">Capacity value </t>
  </si>
  <si>
    <t>Technical lifetime</t>
  </si>
  <si>
    <t>2020 value chosen</t>
  </si>
  <si>
    <t>For comparisson purposes, based on sources. Updated also in the Technology Factsheet tab</t>
  </si>
  <si>
    <t>Changed them to € / kW</t>
  </si>
  <si>
    <t>Operational costs min and max values</t>
  </si>
  <si>
    <t>Variable costs per year 2020</t>
  </si>
  <si>
    <t>Variable costs per year 2030</t>
  </si>
  <si>
    <t>Variable costs per year 2050</t>
  </si>
  <si>
    <t>Variable costs min and max values</t>
  </si>
  <si>
    <t>Changed them to € / kWh</t>
  </si>
  <si>
    <t>Important to mention</t>
  </si>
  <si>
    <t>We agreed with ESDL team to use the potential in 2020, 6 GW</t>
  </si>
  <si>
    <t>Expressed in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</si>
</sst>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 #,##0.00_ ;_ * \-#,##0.00_ ;_ * &quot;-&quot;??_ ;_ @_ "/>
    <numFmt numFmtId="164" formatCode="_ \ \ \ \ #,##0.00_ ;_ \ \ \ \ \-#,##0.00_ ;_ \ \ \ \ &quot;-&quot;??_ ;_ @_ "/>
    <numFmt numFmtId="165" formatCode="_ \ #,##0.00_ ;_ \ \-#,##0.00_ ;_ \ &quot;-&quot;??_ ;_ @_ "/>
    <numFmt numFmtId="166" formatCode="0.000"/>
    <numFmt numFmtId="167" formatCode="0.0000"/>
    <numFmt numFmtId="168" formatCode="0.0"/>
    <numFmt numFmtId="169" formatCode="_ * #,##0.0000_ ;_ * \-#,##0.0000_ ;_ * &quot;-&quot;??_ ;_ @_ "/>
    <numFmt numFmtId="170" formatCode="_ * #,##0.000_ ;_ * \-#,##0.000_ ;_ * &quot;-&quot;??_ ;_ @_ "/>
    <numFmt numFmtId="171" formatCode="0.0000000"/>
    <numFmt numFmtId="172" formatCode="_ * #,##0.0000000_ ;_ * \-#,##0.0000000_ ;_ * &quot;-&quot;??_ ;_ @_ "/>
    <numFmt numFmtId="173" formatCode="_ * #,##0_ ;_ * \-#,##0_ ;_ * &quot;-&quot;??_ ;_ @_ "/>
    <numFmt numFmtId="174" formatCode="_ * #,##0.0_ ;_ * \-#,##0.0_ ;_ * &quot;-&quot;??_ ;_ @_ "/>
    <numFmt numFmtId="175" formatCode="_ \ \ \ \ #,##0.0_ ;_ \ \ \ \ \-#,##0.0_ ;_ \ \ \ \ &quot;-&quot;??_ ;_ @_ "/>
    <numFmt numFmtId="176" formatCode="_ \ \ \ \ #,##0_ ;_ \ \ \ \ \-#,##0_ ;_ \ \ \ \ &quot;-&quot;??_ ;_ @_ "/>
    <numFmt numFmtId="177" formatCode="_ \ \ \ \ #,##0.0000_ ;_ \ \ \ \ \-#,##0.0000_ ;_ \ \ \ \ &quot;-&quot;??_ ;_ @_ "/>
    <numFmt numFmtId="178" formatCode="_ \ #,##0_ ;_ \ \-#,##0_ ;_ \ &quot;-&quot;??_ ;_ @_ "/>
  </numFmts>
  <fonts count="64" x14ac:knownFonts="1">
    <font>
      <sz val="12"/>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theme="1"/>
      <name val="Calibri"/>
      <family val="2"/>
      <scheme val="minor"/>
    </font>
    <font>
      <sz val="12"/>
      <name val="Calibri"/>
      <family val="2"/>
    </font>
    <font>
      <sz val="12"/>
      <color theme="1"/>
      <name val="Calibri"/>
      <family val="2"/>
    </font>
    <font>
      <b/>
      <sz val="12"/>
      <color theme="1"/>
      <name val="Calibri"/>
      <family val="2"/>
    </font>
    <font>
      <i/>
      <sz val="12"/>
      <color rgb="FFFF0000"/>
      <name val="Calibri"/>
      <family val="2"/>
      <scheme val="minor"/>
    </font>
    <font>
      <sz val="14"/>
      <color theme="1"/>
      <name val="Calibri"/>
      <family val="2"/>
      <scheme val="minor"/>
    </font>
    <font>
      <b/>
      <u/>
      <sz val="16"/>
      <color theme="1"/>
      <name val="Calibri"/>
      <family val="2"/>
      <scheme val="minor"/>
    </font>
    <font>
      <i/>
      <sz val="14"/>
      <color theme="1"/>
      <name val="Calibri"/>
      <family val="2"/>
      <scheme val="minor"/>
    </font>
    <font>
      <sz val="12"/>
      <color theme="1" tint="0.499984740745262"/>
      <name val="Calibri"/>
      <family val="2"/>
    </font>
    <font>
      <b/>
      <sz val="12"/>
      <color theme="1"/>
      <name val="Calibri"/>
      <family val="2"/>
      <scheme val="minor"/>
    </font>
    <font>
      <i/>
      <sz val="11"/>
      <color theme="1" tint="0.499984740745262"/>
      <name val="Calibri"/>
      <family val="2"/>
    </font>
    <font>
      <b/>
      <sz val="14"/>
      <color theme="1"/>
      <name val="Calibri"/>
      <family val="2"/>
      <scheme val="minor"/>
    </font>
    <font>
      <sz val="10"/>
      <color theme="1"/>
      <name val="Calibri"/>
      <family val="2"/>
      <scheme val="minor"/>
    </font>
    <font>
      <i/>
      <sz val="12"/>
      <color theme="1"/>
      <name val="Calibri"/>
      <family val="2"/>
      <scheme val="minor"/>
    </font>
    <font>
      <i/>
      <u/>
      <sz val="12"/>
      <color theme="1"/>
      <name val="Calibri"/>
      <family val="2"/>
    </font>
    <font>
      <b/>
      <sz val="12"/>
      <name val="Calibri"/>
      <family val="2"/>
    </font>
    <font>
      <sz val="12"/>
      <color rgb="FFFF0000"/>
      <name val="Calibri"/>
      <family val="2"/>
    </font>
    <font>
      <sz val="12"/>
      <name val="Calibri"/>
      <family val="2"/>
      <scheme val="minor"/>
    </font>
    <font>
      <sz val="12"/>
      <color rgb="FFFF0000"/>
      <name val="Calibri"/>
      <family val="2"/>
      <scheme val="minor"/>
    </font>
    <font>
      <sz val="11"/>
      <color rgb="FFFF0000"/>
      <name val="Calibri"/>
      <family val="2"/>
      <scheme val="minor"/>
    </font>
    <font>
      <u/>
      <sz val="12"/>
      <color theme="10"/>
      <name val="Calibri"/>
      <family val="2"/>
      <scheme val="minor"/>
    </font>
    <font>
      <sz val="11"/>
      <name val="Calibri"/>
      <family val="2"/>
      <scheme val="minor"/>
    </font>
    <font>
      <vertAlign val="subscript"/>
      <sz val="12"/>
      <color theme="1"/>
      <name val="Calibri"/>
      <family val="2"/>
      <scheme val="minor"/>
    </font>
    <font>
      <sz val="12"/>
      <color rgb="FF000000"/>
      <name val="Calibri"/>
      <family val="2"/>
      <scheme val="minor"/>
    </font>
    <font>
      <vertAlign val="superscript"/>
      <sz val="12"/>
      <color theme="1"/>
      <name val="Calibri"/>
      <family val="2"/>
      <scheme val="minor"/>
    </font>
    <font>
      <b/>
      <u/>
      <sz val="12"/>
      <color theme="1"/>
      <name val="Calibri"/>
      <family val="2"/>
      <scheme val="minor"/>
    </font>
    <font>
      <b/>
      <sz val="14"/>
      <color theme="1"/>
      <name val="Calibri"/>
      <family val="2"/>
    </font>
    <font>
      <sz val="12"/>
      <color theme="1"/>
      <name val="Calibri"/>
      <family val="2"/>
      <scheme val="minor"/>
    </font>
    <font>
      <i/>
      <sz val="12"/>
      <color theme="1" tint="0.499984740745262"/>
      <name val="Calibri"/>
      <family val="2"/>
      <scheme val="minor"/>
    </font>
    <font>
      <b/>
      <sz val="11"/>
      <color theme="1"/>
      <name val="Calibri"/>
      <family val="2"/>
      <scheme val="minor"/>
    </font>
    <font>
      <b/>
      <sz val="11"/>
      <color theme="1"/>
      <name val="Calibri"/>
      <family val="2"/>
    </font>
    <font>
      <sz val="11"/>
      <name val="Calibri"/>
      <family val="2"/>
    </font>
    <font>
      <i/>
      <sz val="11"/>
      <color theme="1" tint="0.499984740745262"/>
      <name val="Calibri"/>
      <family val="2"/>
      <scheme val="minor"/>
    </font>
    <font>
      <i/>
      <sz val="11"/>
      <color rgb="FFFF0000"/>
      <name val="Calibri"/>
      <family val="2"/>
      <scheme val="minor"/>
    </font>
    <font>
      <i/>
      <sz val="11"/>
      <name val="Calibri"/>
      <family val="2"/>
      <scheme val="minor"/>
    </font>
    <font>
      <i/>
      <sz val="12"/>
      <color rgb="FFFF0000"/>
      <name val="Calibri"/>
      <family val="2"/>
    </font>
    <font>
      <i/>
      <sz val="10"/>
      <color rgb="FFFF0000"/>
      <name val="Calibri"/>
      <family val="2"/>
      <scheme val="minor"/>
    </font>
    <font>
      <sz val="12"/>
      <color rgb="FFFF0000"/>
      <name val="Times New Roman"/>
      <family val="1"/>
    </font>
    <font>
      <sz val="11"/>
      <color theme="0"/>
      <name val="Calibri"/>
      <family val="2"/>
      <scheme val="minor"/>
    </font>
    <font>
      <b/>
      <sz val="12"/>
      <name val="Calibri"/>
      <family val="2"/>
      <scheme val="minor"/>
    </font>
    <font>
      <sz val="14"/>
      <name val="Calibri"/>
      <family val="2"/>
      <scheme val="minor"/>
    </font>
    <font>
      <i/>
      <sz val="10"/>
      <color rgb="FFFF0000"/>
      <name val="Calibri"/>
      <family val="2"/>
    </font>
    <font>
      <i/>
      <sz val="12"/>
      <name val="Calibri"/>
      <family val="2"/>
      <scheme val="minor"/>
    </font>
    <font>
      <sz val="8"/>
      <color rgb="FF000000"/>
      <name val="Arial"/>
      <family val="2"/>
    </font>
    <font>
      <sz val="8"/>
      <color rgb="FF333333"/>
      <name val="Arial"/>
      <family val="2"/>
    </font>
    <font>
      <b/>
      <i/>
      <sz val="12"/>
      <color theme="1"/>
      <name val="Calibri"/>
      <family val="2"/>
      <scheme val="minor"/>
    </font>
    <font>
      <b/>
      <i/>
      <u/>
      <sz val="12"/>
      <color theme="1"/>
      <name val="Calibri"/>
      <family val="2"/>
      <scheme val="minor"/>
    </font>
    <font>
      <i/>
      <u/>
      <sz val="12"/>
      <color rgb="FFFF0000"/>
      <name val="Calibri"/>
      <family val="2"/>
      <scheme val="minor"/>
    </font>
    <font>
      <b/>
      <sz val="18"/>
      <color theme="0"/>
      <name val="Calibri"/>
      <family val="2"/>
    </font>
    <font>
      <b/>
      <sz val="16"/>
      <color theme="1"/>
      <name val="Calibri"/>
      <family val="2"/>
      <scheme val="minor"/>
    </font>
    <font>
      <b/>
      <sz val="10"/>
      <color rgb="FFFFFFFF"/>
      <name val="Verdana"/>
      <family val="2"/>
    </font>
    <font>
      <sz val="10"/>
      <color rgb="FF000000"/>
      <name val="Verdana"/>
      <family val="2"/>
    </font>
    <font>
      <vertAlign val="subscript"/>
      <sz val="10"/>
      <color rgb="FF000000"/>
      <name val="Verdana"/>
      <family val="2"/>
    </font>
    <font>
      <strike/>
      <sz val="12"/>
      <color theme="1"/>
      <name val="Calibri"/>
      <family val="2"/>
      <scheme val="minor"/>
    </font>
    <font>
      <i/>
      <sz val="11"/>
      <color rgb="FFFF0000"/>
      <name val="Calibri"/>
      <family val="2"/>
    </font>
    <font>
      <b/>
      <sz val="11"/>
      <color rgb="FF000000"/>
      <name val="Calibri"/>
      <family val="2"/>
      <scheme val="minor"/>
    </font>
    <font>
      <sz val="11"/>
      <color rgb="FF000000"/>
      <name val="Calibri"/>
      <family val="2"/>
      <scheme val="minor"/>
    </font>
    <font>
      <i/>
      <sz val="11"/>
      <name val="Calibri"/>
      <family val="2"/>
    </font>
    <font>
      <i/>
      <sz val="11"/>
      <color theme="2" tint="-0.749992370372631"/>
      <name val="Calibri"/>
      <family val="2"/>
      <scheme val="minor"/>
    </font>
    <font>
      <i/>
      <sz val="11"/>
      <color theme="2" tint="-0.499984740745262"/>
      <name val="Calibri"/>
      <family val="2"/>
      <scheme val="minor"/>
    </font>
  </fonts>
  <fills count="19">
    <fill>
      <patternFill patternType="none"/>
    </fill>
    <fill>
      <patternFill patternType="gray125"/>
    </fill>
    <fill>
      <patternFill patternType="solid">
        <fgColor indexed="65"/>
        <bgColor indexed="64"/>
      </patternFill>
    </fill>
    <fill>
      <patternFill patternType="solid">
        <fgColor rgb="FFE5E5E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rgb="FF73FDD6"/>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rgb="FF4BACC6"/>
        <bgColor indexed="64"/>
      </patternFill>
    </fill>
    <fill>
      <patternFill patternType="solid">
        <fgColor rgb="FFA5D5E2"/>
        <bgColor indexed="64"/>
      </patternFill>
    </fill>
    <fill>
      <patternFill patternType="solid">
        <fgColor rgb="FFD2EAF1"/>
        <bgColor indexed="64"/>
      </patternFill>
    </fill>
    <fill>
      <patternFill patternType="solid">
        <fgColor rgb="FFFFC000"/>
        <bgColor indexed="64"/>
      </patternFill>
    </fill>
    <fill>
      <patternFill patternType="solid">
        <fgColor theme="4" tint="0.79998168889431442"/>
        <bgColor indexed="64"/>
      </patternFill>
    </fill>
  </fills>
  <borders count="74">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auto="1"/>
      </right>
      <top style="thin">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right style="thin">
        <color auto="1"/>
      </right>
      <top/>
      <bottom style="medium">
        <color indexed="64"/>
      </bottom>
      <diagonal/>
    </border>
    <border>
      <left/>
      <right style="medium">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thin">
        <color auto="1"/>
      </left>
      <right/>
      <top style="medium">
        <color auto="1"/>
      </top>
      <bottom/>
      <diagonal/>
    </border>
    <border>
      <left/>
      <right style="medium">
        <color indexed="64"/>
      </right>
      <top style="medium">
        <color indexed="64"/>
      </top>
      <bottom style="thin">
        <color auto="1"/>
      </bottom>
      <diagonal/>
    </border>
    <border>
      <left/>
      <right style="medium">
        <color indexed="64"/>
      </right>
      <top style="thin">
        <color auto="1"/>
      </top>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auto="1"/>
      </left>
      <right/>
      <top/>
      <bottom style="medium">
        <color indexed="64"/>
      </bottom>
      <diagonal/>
    </border>
    <border>
      <left style="thin">
        <color auto="1"/>
      </left>
      <right/>
      <top style="thin">
        <color auto="1"/>
      </top>
      <bottom style="medium">
        <color auto="1"/>
      </bottom>
      <diagonal/>
    </border>
    <border>
      <left style="medium">
        <color rgb="FFFFFFFF"/>
      </left>
      <right/>
      <top style="medium">
        <color rgb="FFFFFFFF"/>
      </top>
      <bottom style="thick">
        <color rgb="FFFFFFFF"/>
      </bottom>
      <diagonal/>
    </border>
    <border>
      <left/>
      <right style="medium">
        <color rgb="FFFFFFFF"/>
      </right>
      <top style="medium">
        <color rgb="FFFFFFFF"/>
      </top>
      <bottom style="thick">
        <color rgb="FFFFFFFF"/>
      </bottom>
      <diagonal/>
    </border>
    <border>
      <left style="medium">
        <color rgb="FFFFFFFF"/>
      </left>
      <right style="thick">
        <color rgb="FFFFFFFF"/>
      </right>
      <top style="thick">
        <color rgb="FFFFFFFF"/>
      </top>
      <bottom/>
      <diagonal/>
    </border>
    <border>
      <left/>
      <right style="medium">
        <color rgb="FFFFFFFF"/>
      </right>
      <top/>
      <bottom style="medium">
        <color rgb="FFFFFFFF"/>
      </bottom>
      <diagonal/>
    </border>
    <border>
      <left style="medium">
        <color rgb="FFFFFFFF"/>
      </left>
      <right style="thick">
        <color rgb="FFFFFFFF"/>
      </right>
      <top/>
      <bottom/>
      <diagonal/>
    </border>
    <border>
      <left style="medium">
        <color rgb="FFFFFFFF"/>
      </left>
      <right style="thick">
        <color rgb="FFFFFFFF"/>
      </right>
      <top/>
      <bottom style="medium">
        <color rgb="FFFFFFFF"/>
      </bottom>
      <diagonal/>
    </border>
    <border>
      <left style="medium">
        <color rgb="FFFFFFFF"/>
      </left>
      <right style="thick">
        <color rgb="FFFFFFFF"/>
      </right>
      <top style="medium">
        <color rgb="FFFFFFFF"/>
      </top>
      <bottom/>
      <diagonal/>
    </border>
    <border>
      <left style="medium">
        <color rgb="FFFFFFFF"/>
      </left>
      <right style="thick">
        <color rgb="FFFFFFFF"/>
      </right>
      <top style="medium">
        <color rgb="FFFFFFFF"/>
      </top>
      <bottom style="medium">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indexed="64"/>
      </left>
      <right/>
      <top style="thin">
        <color auto="1"/>
      </top>
      <bottom style="medium">
        <color indexed="64"/>
      </bottom>
      <diagonal/>
    </border>
    <border>
      <left/>
      <right/>
      <top style="thin">
        <color auto="1"/>
      </top>
      <bottom style="medium">
        <color indexed="64"/>
      </bottom>
      <diagonal/>
    </border>
  </borders>
  <cellStyleXfs count="5">
    <xf numFmtId="0" fontId="0" fillId="0" borderId="0"/>
    <xf numFmtId="0" fontId="24" fillId="0" borderId="0" applyNumberFormat="0" applyFill="0" applyBorder="0" applyAlignment="0" applyProtection="0"/>
    <xf numFmtId="43" fontId="31" fillId="0" borderId="0" applyFont="0" applyFill="0" applyBorder="0" applyAlignment="0" applyProtection="0"/>
    <xf numFmtId="0" fontId="3" fillId="0" borderId="0"/>
    <xf numFmtId="9" fontId="31" fillId="0" borderId="0" applyFont="0" applyFill="0" applyBorder="0" applyAlignment="0" applyProtection="0"/>
  </cellStyleXfs>
  <cellXfs count="678">
    <xf numFmtId="0" fontId="0" fillId="0" borderId="0" xfId="0"/>
    <xf numFmtId="0" fontId="0" fillId="7" borderId="0" xfId="0" applyFill="1"/>
    <xf numFmtId="0" fontId="9" fillId="7" borderId="0" xfId="0" applyFont="1" applyFill="1"/>
    <xf numFmtId="0" fontId="10" fillId="7" borderId="0" xfId="0" applyFont="1" applyFill="1"/>
    <xf numFmtId="0" fontId="11" fillId="7" borderId="0" xfId="0" applyFont="1" applyFill="1"/>
    <xf numFmtId="0" fontId="12" fillId="0" borderId="0" xfId="0" applyFont="1" applyAlignment="1">
      <alignment vertical="center" wrapText="1"/>
    </xf>
    <xf numFmtId="0" fontId="0" fillId="7" borderId="0" xfId="0" applyFill="1" applyAlignment="1">
      <alignment horizontal="right"/>
    </xf>
    <xf numFmtId="0" fontId="6" fillId="7" borderId="0" xfId="0" applyFont="1" applyFill="1" applyAlignment="1">
      <alignment vertical="center" wrapText="1"/>
    </xf>
    <xf numFmtId="0" fontId="7" fillId="7" borderId="0" xfId="0" applyFont="1" applyFill="1" applyAlignment="1">
      <alignment vertical="center" wrapText="1"/>
    </xf>
    <xf numFmtId="0" fontId="5" fillId="7" borderId="15" xfId="0" applyFont="1" applyFill="1" applyBorder="1" applyAlignment="1">
      <alignment vertical="center" wrapText="1"/>
    </xf>
    <xf numFmtId="0" fontId="5" fillId="7" borderId="29" xfId="0" applyFont="1" applyFill="1" applyBorder="1" applyAlignment="1">
      <alignment vertical="center" wrapText="1"/>
    </xf>
    <xf numFmtId="0" fontId="5" fillId="7" borderId="18" xfId="0" applyFont="1" applyFill="1" applyBorder="1" applyAlignment="1">
      <alignment vertical="center" wrapText="1"/>
    </xf>
    <xf numFmtId="0" fontId="16" fillId="7" borderId="13" xfId="0" applyFont="1" applyFill="1" applyBorder="1" applyAlignment="1">
      <alignment horizontal="right"/>
    </xf>
    <xf numFmtId="0" fontId="16" fillId="7" borderId="43" xfId="0" applyFont="1" applyFill="1" applyBorder="1" applyAlignment="1">
      <alignment horizontal="right"/>
    </xf>
    <xf numFmtId="0" fontId="16" fillId="7" borderId="16" xfId="0" applyFont="1" applyFill="1" applyBorder="1" applyAlignment="1">
      <alignment horizontal="right"/>
    </xf>
    <xf numFmtId="0" fontId="16" fillId="7" borderId="19" xfId="0" applyFont="1" applyFill="1" applyBorder="1" applyAlignment="1">
      <alignment horizontal="right"/>
    </xf>
    <xf numFmtId="0" fontId="13" fillId="7" borderId="0" xfId="0" applyFont="1" applyFill="1"/>
    <xf numFmtId="0" fontId="17" fillId="7" borderId="0" xfId="0" applyFont="1" applyFill="1"/>
    <xf numFmtId="0" fontId="6" fillId="7" borderId="18" xfId="0" applyFont="1" applyFill="1" applyBorder="1" applyAlignment="1">
      <alignment vertical="top" wrapText="1"/>
    </xf>
    <xf numFmtId="0" fontId="6" fillId="7" borderId="15" xfId="0" applyFont="1" applyFill="1" applyBorder="1" applyAlignment="1">
      <alignment vertical="top" wrapText="1"/>
    </xf>
    <xf numFmtId="0" fontId="6" fillId="7" borderId="29" xfId="0" applyFont="1" applyFill="1" applyBorder="1" applyAlignment="1">
      <alignment vertical="top" wrapText="1"/>
    </xf>
    <xf numFmtId="0" fontId="6" fillId="7" borderId="43" xfId="0" applyFont="1" applyFill="1" applyBorder="1" applyAlignment="1">
      <alignment horizontal="right" vertical="top" wrapText="1"/>
    </xf>
    <xf numFmtId="0" fontId="19" fillId="7" borderId="19" xfId="0" applyFont="1" applyFill="1" applyBorder="1" applyAlignment="1">
      <alignment vertical="top" wrapText="1"/>
    </xf>
    <xf numFmtId="0" fontId="16" fillId="7" borderId="43" xfId="0" applyFont="1" applyFill="1" applyBorder="1" applyAlignment="1">
      <alignment horizontal="right" vertical="top"/>
    </xf>
    <xf numFmtId="0" fontId="6" fillId="7" borderId="15" xfId="0" applyFont="1" applyFill="1" applyBorder="1" applyAlignment="1">
      <alignment vertical="center" wrapText="1"/>
    </xf>
    <xf numFmtId="0" fontId="6" fillId="7" borderId="29" xfId="0" applyFont="1" applyFill="1" applyBorder="1" applyAlignment="1">
      <alignment vertical="center" wrapText="1"/>
    </xf>
    <xf numFmtId="0" fontId="5" fillId="7" borderId="29" xfId="0" applyFont="1" applyFill="1" applyBorder="1" applyAlignment="1">
      <alignment vertical="top" wrapText="1"/>
    </xf>
    <xf numFmtId="0" fontId="16" fillId="7" borderId="0" xfId="0" applyFont="1" applyFill="1" applyAlignment="1">
      <alignment horizontal="right"/>
    </xf>
    <xf numFmtId="0" fontId="16" fillId="7" borderId="14" xfId="0" applyFont="1" applyFill="1" applyBorder="1" applyAlignment="1">
      <alignment horizontal="right"/>
    </xf>
    <xf numFmtId="0" fontId="0" fillId="7" borderId="29" xfId="0" applyFill="1" applyBorder="1"/>
    <xf numFmtId="0" fontId="0" fillId="7" borderId="17" xfId="0" applyFill="1" applyBorder="1"/>
    <xf numFmtId="0" fontId="0" fillId="7" borderId="18" xfId="0" applyFill="1" applyBorder="1"/>
    <xf numFmtId="0" fontId="13" fillId="7" borderId="21" xfId="0" applyFont="1" applyFill="1" applyBorder="1"/>
    <xf numFmtId="0" fontId="13" fillId="7" borderId="42" xfId="0" applyFont="1" applyFill="1" applyBorder="1"/>
    <xf numFmtId="0" fontId="13" fillId="7" borderId="22" xfId="0" applyFont="1" applyFill="1" applyBorder="1"/>
    <xf numFmtId="0" fontId="16" fillId="7" borderId="19" xfId="0" applyFont="1" applyFill="1" applyBorder="1" applyAlignment="1">
      <alignment horizontal="right" vertical="top"/>
    </xf>
    <xf numFmtId="0" fontId="22" fillId="7" borderId="0" xfId="0" applyFont="1" applyFill="1"/>
    <xf numFmtId="0" fontId="16" fillId="7" borderId="13" xfId="0" applyFont="1" applyFill="1" applyBorder="1" applyAlignment="1">
      <alignment horizontal="right" vertical="top"/>
    </xf>
    <xf numFmtId="0" fontId="5" fillId="7" borderId="15" xfId="0" applyFont="1" applyFill="1" applyBorder="1" applyAlignment="1">
      <alignment vertical="top" wrapText="1"/>
    </xf>
    <xf numFmtId="0" fontId="21" fillId="7" borderId="0" xfId="0" applyFont="1" applyFill="1"/>
    <xf numFmtId="0" fontId="5" fillId="7" borderId="0" xfId="0" applyFont="1" applyFill="1" applyAlignment="1">
      <alignment vertical="center" wrapText="1"/>
    </xf>
    <xf numFmtId="0" fontId="5" fillId="7" borderId="14" xfId="0" applyFont="1" applyFill="1" applyBorder="1" applyAlignment="1">
      <alignment vertical="center" wrapText="1"/>
    </xf>
    <xf numFmtId="0" fontId="6" fillId="7" borderId="14" xfId="0" applyFont="1" applyFill="1" applyBorder="1" applyAlignment="1">
      <alignment vertical="top" wrapText="1"/>
    </xf>
    <xf numFmtId="0" fontId="6" fillId="7" borderId="0" xfId="0" applyFont="1" applyFill="1" applyAlignment="1">
      <alignment vertical="top" wrapText="1"/>
    </xf>
    <xf numFmtId="0" fontId="18" fillId="7" borderId="0" xfId="0" applyFont="1" applyFill="1" applyAlignment="1">
      <alignment vertical="top" wrapText="1"/>
    </xf>
    <xf numFmtId="0" fontId="5" fillId="7" borderId="14" xfId="0" applyFont="1" applyFill="1" applyBorder="1" applyAlignment="1">
      <alignment vertical="top" wrapText="1"/>
    </xf>
    <xf numFmtId="0" fontId="0" fillId="7" borderId="43" xfId="0" applyFill="1" applyBorder="1"/>
    <xf numFmtId="0" fontId="0" fillId="7" borderId="16" xfId="0" applyFill="1" applyBorder="1"/>
    <xf numFmtId="0" fontId="16" fillId="7" borderId="16" xfId="0" applyFont="1" applyFill="1" applyBorder="1" applyAlignment="1">
      <alignment horizontal="right" vertical="top"/>
    </xf>
    <xf numFmtId="0" fontId="5" fillId="7" borderId="20" xfId="0" applyFont="1" applyFill="1" applyBorder="1" applyAlignment="1">
      <alignment vertical="center" wrapText="1"/>
    </xf>
    <xf numFmtId="0" fontId="6" fillId="7" borderId="20" xfId="0" applyFont="1" applyFill="1" applyBorder="1" applyAlignment="1">
      <alignment vertical="top" wrapText="1"/>
    </xf>
    <xf numFmtId="0" fontId="19" fillId="7" borderId="19" xfId="0" applyFont="1" applyFill="1" applyBorder="1" applyAlignment="1">
      <alignment vertical="center" wrapText="1"/>
    </xf>
    <xf numFmtId="0" fontId="20" fillId="7" borderId="18" xfId="0" applyFont="1" applyFill="1" applyBorder="1" applyAlignment="1">
      <alignment vertical="center" wrapText="1"/>
    </xf>
    <xf numFmtId="0" fontId="16" fillId="7" borderId="14" xfId="0" applyFont="1" applyFill="1" applyBorder="1" applyAlignment="1">
      <alignment horizontal="right" vertical="top"/>
    </xf>
    <xf numFmtId="0" fontId="5" fillId="7" borderId="18" xfId="0" applyFont="1" applyFill="1" applyBorder="1" applyAlignment="1">
      <alignment vertical="top" wrapText="1"/>
    </xf>
    <xf numFmtId="0" fontId="15" fillId="8" borderId="12" xfId="0" applyFont="1" applyFill="1" applyBorder="1"/>
    <xf numFmtId="0" fontId="7" fillId="7" borderId="17" xfId="0" applyFont="1" applyFill="1" applyBorder="1" applyAlignment="1">
      <alignment vertical="center" wrapText="1"/>
    </xf>
    <xf numFmtId="0" fontId="0" fillId="7" borderId="15" xfId="0" applyFill="1" applyBorder="1" applyAlignment="1">
      <alignment horizontal="left" vertical="center"/>
    </xf>
    <xf numFmtId="0" fontId="0" fillId="7" borderId="29" xfId="0" applyFill="1" applyBorder="1" applyAlignment="1">
      <alignment horizontal="left" vertical="center"/>
    </xf>
    <xf numFmtId="0" fontId="0" fillId="7" borderId="18" xfId="0" applyFill="1" applyBorder="1" applyAlignment="1">
      <alignment horizontal="left" vertical="center"/>
    </xf>
    <xf numFmtId="0" fontId="13" fillId="7" borderId="21" xfId="0" applyFont="1" applyFill="1" applyBorder="1" applyAlignment="1">
      <alignment vertical="top"/>
    </xf>
    <xf numFmtId="0" fontId="9" fillId="7" borderId="13" xfId="0" applyFont="1" applyFill="1" applyBorder="1"/>
    <xf numFmtId="0" fontId="0" fillId="7" borderId="15" xfId="0" applyFill="1" applyBorder="1" applyAlignment="1">
      <alignment vertical="center" wrapText="1"/>
    </xf>
    <xf numFmtId="0" fontId="9" fillId="7" borderId="43" xfId="0" applyFont="1" applyFill="1" applyBorder="1"/>
    <xf numFmtId="0" fontId="24" fillId="7" borderId="29" xfId="1" applyFill="1" applyBorder="1" applyAlignment="1">
      <alignment vertical="center"/>
    </xf>
    <xf numFmtId="0" fontId="0" fillId="7" borderId="29" xfId="0" applyFill="1" applyBorder="1" applyAlignment="1">
      <alignment vertical="center" wrapText="1"/>
    </xf>
    <xf numFmtId="0" fontId="0" fillId="7" borderId="29" xfId="0" applyFill="1" applyBorder="1" applyAlignment="1">
      <alignment horizontal="left" vertical="center" wrapText="1"/>
    </xf>
    <xf numFmtId="0" fontId="27" fillId="7" borderId="43" xfId="0" applyFont="1" applyFill="1" applyBorder="1" applyAlignment="1">
      <alignment vertical="center" wrapText="1"/>
    </xf>
    <xf numFmtId="0" fontId="27" fillId="7" borderId="42" xfId="0" applyFont="1" applyFill="1" applyBorder="1" applyAlignment="1">
      <alignment horizontal="left" vertical="center" wrapText="1"/>
    </xf>
    <xf numFmtId="0" fontId="29" fillId="7" borderId="42" xfId="0" applyFont="1" applyFill="1" applyBorder="1" applyAlignment="1">
      <alignment horizontal="left"/>
    </xf>
    <xf numFmtId="0" fontId="17" fillId="0" borderId="16" xfId="0" applyFont="1" applyBorder="1"/>
    <xf numFmtId="0" fontId="22" fillId="7" borderId="29" xfId="0" applyFont="1" applyFill="1" applyBorder="1" applyAlignment="1">
      <alignment vertical="center" wrapText="1"/>
    </xf>
    <xf numFmtId="0" fontId="4" fillId="0" borderId="0" xfId="0" applyFont="1"/>
    <xf numFmtId="0" fontId="35" fillId="7" borderId="0" xfId="0" applyFont="1" applyFill="1" applyAlignment="1" applyProtection="1">
      <alignment vertical="top" wrapText="1"/>
      <protection locked="0"/>
    </xf>
    <xf numFmtId="0" fontId="34" fillId="7" borderId="0" xfId="0" applyFont="1" applyFill="1" applyAlignment="1">
      <alignment vertical="center" wrapText="1"/>
    </xf>
    <xf numFmtId="0" fontId="33" fillId="7" borderId="0" xfId="0" applyFont="1" applyFill="1" applyAlignment="1">
      <alignment vertical="center" wrapText="1"/>
    </xf>
    <xf numFmtId="43" fontId="14" fillId="7" borderId="0" xfId="2" applyFont="1" applyFill="1" applyBorder="1" applyAlignment="1">
      <alignment vertical="center" wrapText="1"/>
    </xf>
    <xf numFmtId="0" fontId="14" fillId="7" borderId="0" xfId="0" applyFont="1" applyFill="1" applyAlignment="1">
      <alignment vertical="center" wrapText="1"/>
    </xf>
    <xf numFmtId="0" fontId="35" fillId="7" borderId="0" xfId="0" applyFont="1" applyFill="1" applyAlignment="1" applyProtection="1">
      <alignment vertical="center" wrapText="1"/>
      <protection locked="0"/>
    </xf>
    <xf numFmtId="0" fontId="22" fillId="0" borderId="0" xfId="0" applyFont="1"/>
    <xf numFmtId="0" fontId="36" fillId="0" borderId="12" xfId="0" applyFont="1" applyBorder="1" applyAlignment="1">
      <alignment horizontal="center" vertical="top" wrapText="1"/>
    </xf>
    <xf numFmtId="0" fontId="0" fillId="7" borderId="20" xfId="0" applyFill="1" applyBorder="1" applyAlignment="1">
      <alignment vertical="top"/>
    </xf>
    <xf numFmtId="0" fontId="5" fillId="7" borderId="23" xfId="0" applyFont="1" applyFill="1" applyBorder="1" applyAlignment="1">
      <alignment vertical="top" wrapText="1"/>
    </xf>
    <xf numFmtId="0" fontId="21" fillId="7" borderId="0" xfId="0" applyFont="1" applyFill="1" applyAlignment="1">
      <alignment vertical="top" wrapText="1"/>
    </xf>
    <xf numFmtId="0" fontId="0" fillId="7" borderId="19" xfId="0" applyFill="1" applyBorder="1" applyAlignment="1">
      <alignment vertical="top"/>
    </xf>
    <xf numFmtId="0" fontId="5" fillId="7" borderId="20" xfId="0" applyFont="1" applyFill="1" applyBorder="1" applyAlignment="1">
      <alignment vertical="top" wrapText="1"/>
    </xf>
    <xf numFmtId="0" fontId="0" fillId="7" borderId="18" xfId="0" applyFill="1" applyBorder="1" applyAlignment="1">
      <alignment vertical="top"/>
    </xf>
    <xf numFmtId="0" fontId="35" fillId="3" borderId="7" xfId="0" applyFont="1" applyFill="1" applyBorder="1" applyAlignment="1">
      <alignment vertical="center" wrapText="1"/>
    </xf>
    <xf numFmtId="0" fontId="35" fillId="3" borderId="10" xfId="0" applyFont="1" applyFill="1" applyBorder="1" applyAlignment="1">
      <alignment vertical="center" wrapText="1"/>
    </xf>
    <xf numFmtId="0" fontId="39" fillId="7" borderId="29" xfId="0" applyFont="1" applyFill="1" applyBorder="1" applyAlignment="1">
      <alignment vertical="center" wrapText="1"/>
    </xf>
    <xf numFmtId="43" fontId="38" fillId="10" borderId="12" xfId="2" applyFont="1" applyFill="1" applyBorder="1"/>
    <xf numFmtId="43" fontId="25" fillId="7" borderId="12" xfId="2" applyFont="1" applyFill="1" applyBorder="1"/>
    <xf numFmtId="43" fontId="25" fillId="10" borderId="12" xfId="2" applyFont="1" applyFill="1" applyBorder="1"/>
    <xf numFmtId="0" fontId="0" fillId="7" borderId="20" xfId="0" applyFill="1" applyBorder="1" applyAlignment="1">
      <alignment vertical="top" wrapText="1"/>
    </xf>
    <xf numFmtId="0" fontId="7" fillId="7" borderId="12" xfId="0" applyFont="1" applyFill="1" applyBorder="1" applyAlignment="1">
      <alignment vertical="top" wrapText="1"/>
    </xf>
    <xf numFmtId="0" fontId="5" fillId="7" borderId="0" xfId="0" applyFont="1" applyFill="1" applyAlignment="1">
      <alignment vertical="top"/>
    </xf>
    <xf numFmtId="0" fontId="0" fillId="7" borderId="0" xfId="0" applyFill="1" applyAlignment="1">
      <alignment vertical="top"/>
    </xf>
    <xf numFmtId="0" fontId="0" fillId="7" borderId="29" xfId="0" applyFill="1" applyBorder="1" applyAlignment="1">
      <alignment vertical="top" wrapText="1"/>
    </xf>
    <xf numFmtId="0" fontId="37" fillId="7" borderId="0" xfId="0" applyFont="1" applyFill="1"/>
    <xf numFmtId="0" fontId="23" fillId="7" borderId="0" xfId="0" applyFont="1" applyFill="1"/>
    <xf numFmtId="43" fontId="25" fillId="0" borderId="12" xfId="2" applyFont="1" applyBorder="1"/>
    <xf numFmtId="0" fontId="38" fillId="0" borderId="12" xfId="0" applyFont="1" applyBorder="1" applyAlignment="1">
      <alignment horizontal="center"/>
    </xf>
    <xf numFmtId="0" fontId="38" fillId="0" borderId="20" xfId="0" applyFont="1" applyBorder="1" applyAlignment="1">
      <alignment horizontal="center"/>
    </xf>
    <xf numFmtId="0" fontId="41" fillId="7" borderId="0" xfId="0" applyFont="1" applyFill="1" applyAlignment="1">
      <alignment vertical="center"/>
    </xf>
    <xf numFmtId="0" fontId="42" fillId="0" borderId="0" xfId="0" applyFont="1"/>
    <xf numFmtId="0" fontId="42" fillId="0" borderId="0" xfId="0" applyFont="1" applyAlignment="1">
      <alignment horizontal="left" vertical="top" wrapText="1"/>
    </xf>
    <xf numFmtId="0" fontId="0" fillId="0" borderId="0" xfId="0" applyAlignment="1">
      <alignment horizontal="left" vertical="top" wrapText="1"/>
    </xf>
    <xf numFmtId="0" fontId="43" fillId="7" borderId="42" xfId="0" applyFont="1" applyFill="1" applyBorder="1"/>
    <xf numFmtId="0" fontId="44" fillId="7" borderId="0" xfId="0" applyFont="1" applyFill="1"/>
    <xf numFmtId="0" fontId="21" fillId="7" borderId="29" xfId="0" applyFont="1" applyFill="1" applyBorder="1"/>
    <xf numFmtId="0" fontId="5" fillId="7" borderId="0" xfId="0" applyFont="1" applyFill="1" applyAlignment="1">
      <alignment vertical="top" wrapText="1"/>
    </xf>
    <xf numFmtId="0" fontId="35" fillId="2" borderId="1" xfId="0" applyFont="1" applyFill="1" applyBorder="1" applyAlignment="1">
      <alignment vertical="center" wrapText="1"/>
    </xf>
    <xf numFmtId="0" fontId="5" fillId="7" borderId="17" xfId="0" applyFont="1" applyFill="1" applyBorder="1" applyAlignment="1">
      <alignment vertical="top" wrapText="1"/>
    </xf>
    <xf numFmtId="0" fontId="0" fillId="7" borderId="13" xfId="0" applyFill="1" applyBorder="1"/>
    <xf numFmtId="0" fontId="0" fillId="7" borderId="15" xfId="0" applyFill="1" applyBorder="1"/>
    <xf numFmtId="0" fontId="19" fillId="7" borderId="13" xfId="0" applyFont="1" applyFill="1" applyBorder="1" applyAlignment="1">
      <alignment vertical="center" wrapText="1"/>
    </xf>
    <xf numFmtId="0" fontId="39" fillId="7" borderId="29" xfId="0" applyFont="1" applyFill="1" applyBorder="1" applyAlignment="1">
      <alignment vertical="top" wrapText="1"/>
    </xf>
    <xf numFmtId="0" fontId="39" fillId="7" borderId="18" xfId="0" applyFont="1" applyFill="1" applyBorder="1" applyAlignment="1">
      <alignment vertical="center" wrapText="1"/>
    </xf>
    <xf numFmtId="0" fontId="16" fillId="7" borderId="0" xfId="0" applyFont="1" applyFill="1" applyAlignment="1">
      <alignment horizontal="right" vertical="top"/>
    </xf>
    <xf numFmtId="0" fontId="0" fillId="4" borderId="0" xfId="0" applyFill="1"/>
    <xf numFmtId="0" fontId="47" fillId="7" borderId="0" xfId="0" applyFont="1" applyFill="1" applyAlignment="1">
      <alignment horizontal="right"/>
    </xf>
    <xf numFmtId="0" fontId="27" fillId="7" borderId="43" xfId="0" applyFont="1" applyFill="1" applyBorder="1" applyAlignment="1">
      <alignment horizontal="right" vertical="center" wrapText="1"/>
    </xf>
    <xf numFmtId="0" fontId="50" fillId="7" borderId="0" xfId="0" applyFont="1" applyFill="1"/>
    <xf numFmtId="0" fontId="6" fillId="7" borderId="0" xfId="0" applyFont="1" applyFill="1" applyAlignment="1">
      <alignment horizontal="right"/>
    </xf>
    <xf numFmtId="0" fontId="8" fillId="0" borderId="0" xfId="0" applyFont="1"/>
    <xf numFmtId="0" fontId="46" fillId="0" borderId="0" xfId="0" applyFont="1"/>
    <xf numFmtId="0" fontId="13" fillId="0" borderId="0" xfId="0" applyFont="1"/>
    <xf numFmtId="0" fontId="0" fillId="0" borderId="0" xfId="0" applyAlignment="1">
      <alignment horizontal="left"/>
    </xf>
    <xf numFmtId="14" fontId="0" fillId="0" borderId="0" xfId="0" applyNumberFormat="1" applyAlignment="1">
      <alignment horizontal="left"/>
    </xf>
    <xf numFmtId="0" fontId="0" fillId="7" borderId="14" xfId="0" applyFill="1" applyBorder="1"/>
    <xf numFmtId="14" fontId="0" fillId="7" borderId="43" xfId="0" applyNumberFormat="1" applyFill="1" applyBorder="1" applyAlignment="1">
      <alignment horizontal="left"/>
    </xf>
    <xf numFmtId="14" fontId="0" fillId="7" borderId="13" xfId="0" applyNumberFormat="1" applyFill="1" applyBorder="1" applyAlignment="1">
      <alignment horizontal="left"/>
    </xf>
    <xf numFmtId="0" fontId="13" fillId="7" borderId="19" xfId="0" applyFont="1" applyFill="1" applyBorder="1"/>
    <xf numFmtId="0" fontId="0" fillId="7" borderId="23" xfId="0" applyFill="1" applyBorder="1"/>
    <xf numFmtId="0" fontId="13" fillId="7" borderId="23" xfId="0" applyFont="1" applyFill="1" applyBorder="1"/>
    <xf numFmtId="0" fontId="0" fillId="7" borderId="20" xfId="0" applyFill="1" applyBorder="1"/>
    <xf numFmtId="0" fontId="48" fillId="7" borderId="0" xfId="0" applyFont="1" applyFill="1" applyAlignment="1">
      <alignment horizontal="left" vertical="center"/>
    </xf>
    <xf numFmtId="0" fontId="19" fillId="7" borderId="13" xfId="0" applyFont="1" applyFill="1" applyBorder="1" applyAlignment="1">
      <alignment horizontal="left" vertical="top" wrapText="1"/>
    </xf>
    <xf numFmtId="0" fontId="19" fillId="7" borderId="43" xfId="0" applyFont="1" applyFill="1" applyBorder="1" applyAlignment="1">
      <alignment horizontal="left" vertical="top" wrapText="1"/>
    </xf>
    <xf numFmtId="0" fontId="7" fillId="7" borderId="21" xfId="0" applyFont="1" applyFill="1" applyBorder="1" applyAlignment="1">
      <alignment horizontal="left" vertical="top" wrapText="1"/>
    </xf>
    <xf numFmtId="0" fontId="7" fillId="7" borderId="43" xfId="0" applyFont="1" applyFill="1" applyBorder="1" applyAlignment="1">
      <alignment horizontal="left" vertical="top" wrapText="1"/>
    </xf>
    <xf numFmtId="0" fontId="19" fillId="7" borderId="21" xfId="0" applyFont="1" applyFill="1" applyBorder="1" applyAlignment="1">
      <alignment horizontal="left" vertical="top" wrapText="1"/>
    </xf>
    <xf numFmtId="0" fontId="7" fillId="7" borderId="22" xfId="0" applyFont="1" applyFill="1" applyBorder="1" applyAlignment="1">
      <alignment horizontal="left" vertical="top" wrapText="1"/>
    </xf>
    <xf numFmtId="0" fontId="33" fillId="9" borderId="12" xfId="0" applyFont="1" applyFill="1" applyBorder="1" applyAlignment="1">
      <alignment horizontal="center"/>
    </xf>
    <xf numFmtId="0" fontId="33" fillId="6" borderId="12" xfId="0" applyFont="1" applyFill="1" applyBorder="1" applyAlignment="1">
      <alignment horizontal="center"/>
    </xf>
    <xf numFmtId="0" fontId="33" fillId="6" borderId="12" xfId="0" applyFont="1" applyFill="1" applyBorder="1" applyAlignment="1">
      <alignment horizontal="center" vertical="center" wrapText="1"/>
    </xf>
    <xf numFmtId="14" fontId="0" fillId="7" borderId="19" xfId="0" applyNumberFormat="1" applyFill="1" applyBorder="1" applyAlignment="1">
      <alignment horizontal="left"/>
    </xf>
    <xf numFmtId="43" fontId="25" fillId="10" borderId="12" xfId="2" quotePrefix="1" applyFont="1" applyFill="1" applyBorder="1" applyAlignment="1">
      <alignment horizontal="right"/>
    </xf>
    <xf numFmtId="43" fontId="25" fillId="7" borderId="12" xfId="2" applyFont="1" applyFill="1" applyBorder="1" applyAlignment="1">
      <alignment horizontal="right"/>
    </xf>
    <xf numFmtId="0" fontId="0" fillId="13" borderId="0" xfId="0" applyFill="1"/>
    <xf numFmtId="166" fontId="0" fillId="13" borderId="0" xfId="0" applyNumberFormat="1" applyFill="1"/>
    <xf numFmtId="167" fontId="0" fillId="13" borderId="0" xfId="0" applyNumberFormat="1" applyFill="1"/>
    <xf numFmtId="168" fontId="0" fillId="0" borderId="0" xfId="0" applyNumberFormat="1"/>
    <xf numFmtId="0" fontId="0" fillId="0" borderId="0" xfId="0" quotePrefix="1"/>
    <xf numFmtId="0" fontId="24" fillId="0" borderId="0" xfId="1"/>
    <xf numFmtId="169" fontId="25" fillId="10" borderId="12" xfId="2" applyNumberFormat="1" applyFont="1" applyFill="1" applyBorder="1"/>
    <xf numFmtId="170" fontId="25" fillId="10" borderId="12" xfId="2" applyNumberFormat="1" applyFont="1" applyFill="1" applyBorder="1"/>
    <xf numFmtId="171" fontId="0" fillId="13" borderId="0" xfId="0" applyNumberFormat="1" applyFill="1"/>
    <xf numFmtId="172" fontId="25" fillId="10" borderId="12" xfId="2" applyNumberFormat="1" applyFont="1" applyFill="1" applyBorder="1"/>
    <xf numFmtId="0" fontId="53" fillId="0" borderId="0" xfId="3" applyFont="1"/>
    <xf numFmtId="0" fontId="3" fillId="0" borderId="0" xfId="3"/>
    <xf numFmtId="0" fontId="33" fillId="0" borderId="0" xfId="3" applyFont="1"/>
    <xf numFmtId="0" fontId="54" fillId="14" borderId="58" xfId="3" applyFont="1" applyFill="1" applyBorder="1" applyAlignment="1">
      <alignment horizontal="left" vertical="center"/>
    </xf>
    <xf numFmtId="1" fontId="54" fillId="14" borderId="58" xfId="3" applyNumberFormat="1" applyFont="1" applyFill="1" applyBorder="1" applyAlignment="1">
      <alignment horizontal="center" vertical="center"/>
    </xf>
    <xf numFmtId="0" fontId="54" fillId="14" borderId="58" xfId="3" applyFont="1" applyFill="1" applyBorder="1" applyAlignment="1">
      <alignment horizontal="center" vertical="center"/>
    </xf>
    <xf numFmtId="0" fontId="55" fillId="15" borderId="60" xfId="3" applyFont="1" applyFill="1" applyBorder="1" applyAlignment="1">
      <alignment horizontal="left" vertical="center"/>
    </xf>
    <xf numFmtId="1" fontId="55" fillId="15" borderId="60" xfId="3" applyNumberFormat="1" applyFont="1" applyFill="1" applyBorder="1" applyAlignment="1">
      <alignment horizontal="center" vertical="center"/>
    </xf>
    <xf numFmtId="0" fontId="55" fillId="16" borderId="60" xfId="3" applyFont="1" applyFill="1" applyBorder="1" applyAlignment="1">
      <alignment horizontal="left" vertical="center"/>
    </xf>
    <xf numFmtId="1" fontId="55" fillId="16" borderId="60" xfId="3" applyNumberFormat="1" applyFont="1" applyFill="1" applyBorder="1" applyAlignment="1">
      <alignment horizontal="center" vertical="center"/>
    </xf>
    <xf numFmtId="9" fontId="55" fillId="15" borderId="60" xfId="3" applyNumberFormat="1" applyFont="1" applyFill="1" applyBorder="1" applyAlignment="1">
      <alignment horizontal="center" vertical="center"/>
    </xf>
    <xf numFmtId="9" fontId="55" fillId="16" borderId="60" xfId="3" applyNumberFormat="1" applyFont="1" applyFill="1" applyBorder="1" applyAlignment="1">
      <alignment horizontal="center" vertical="center"/>
    </xf>
    <xf numFmtId="0" fontId="54" fillId="14" borderId="64" xfId="3" applyFont="1" applyFill="1" applyBorder="1" applyAlignment="1">
      <alignment horizontal="left" vertical="center"/>
    </xf>
    <xf numFmtId="0" fontId="55" fillId="16" borderId="60" xfId="3" applyFont="1" applyFill="1" applyBorder="1" applyAlignment="1">
      <alignment horizontal="center" vertical="center"/>
    </xf>
    <xf numFmtId="0" fontId="55" fillId="15" borderId="60" xfId="3" applyFont="1" applyFill="1" applyBorder="1" applyAlignment="1">
      <alignment horizontal="center" vertical="center"/>
    </xf>
    <xf numFmtId="0" fontId="0" fillId="0" borderId="0" xfId="0" applyAlignment="1">
      <alignment horizontal="right"/>
    </xf>
    <xf numFmtId="0" fontId="57" fillId="0" borderId="0" xfId="0" applyFont="1"/>
    <xf numFmtId="169" fontId="25" fillId="0" borderId="12" xfId="2" applyNumberFormat="1" applyFont="1" applyBorder="1"/>
    <xf numFmtId="171" fontId="0" fillId="0" borderId="0" xfId="0" applyNumberFormat="1"/>
    <xf numFmtId="168" fontId="13" fillId="0" borderId="0" xfId="0" applyNumberFormat="1" applyFont="1"/>
    <xf numFmtId="9" fontId="0" fillId="0" borderId="0" xfId="4" applyFont="1"/>
    <xf numFmtId="0" fontId="0" fillId="7" borderId="21" xfId="0" applyFill="1" applyBorder="1"/>
    <xf numFmtId="0" fontId="0" fillId="7" borderId="42" xfId="0" applyFill="1" applyBorder="1"/>
    <xf numFmtId="0" fontId="0" fillId="7" borderId="22" xfId="0" applyFill="1" applyBorder="1"/>
    <xf numFmtId="168" fontId="0" fillId="7" borderId="21" xfId="0" applyNumberFormat="1" applyFill="1" applyBorder="1"/>
    <xf numFmtId="168" fontId="0" fillId="7" borderId="42" xfId="0" applyNumberFormat="1" applyFill="1" applyBorder="1"/>
    <xf numFmtId="168" fontId="0" fillId="7" borderId="22" xfId="0" applyNumberFormat="1" applyFill="1" applyBorder="1"/>
    <xf numFmtId="9" fontId="0" fillId="7" borderId="21" xfId="4" applyFont="1" applyFill="1" applyBorder="1"/>
    <xf numFmtId="9" fontId="0" fillId="7" borderId="42" xfId="4" applyFont="1" applyFill="1" applyBorder="1"/>
    <xf numFmtId="9" fontId="0" fillId="7" borderId="22" xfId="4" applyFont="1" applyFill="1" applyBorder="1"/>
    <xf numFmtId="2" fontId="0" fillId="7" borderId="13" xfId="0" applyNumberFormat="1" applyFill="1" applyBorder="1"/>
    <xf numFmtId="2" fontId="0" fillId="7" borderId="14" xfId="0" applyNumberFormat="1" applyFill="1" applyBorder="1"/>
    <xf numFmtId="2" fontId="0" fillId="7" borderId="15" xfId="0" applyNumberFormat="1" applyFill="1" applyBorder="1"/>
    <xf numFmtId="2" fontId="0" fillId="7" borderId="43" xfId="0" applyNumberFormat="1" applyFill="1" applyBorder="1"/>
    <xf numFmtId="2" fontId="0" fillId="7" borderId="0" xfId="0" applyNumberFormat="1" applyFill="1"/>
    <xf numFmtId="2" fontId="0" fillId="7" borderId="29" xfId="0" applyNumberFormat="1" applyFill="1" applyBorder="1"/>
    <xf numFmtId="0" fontId="13" fillId="7" borderId="12" xfId="0" applyFont="1" applyFill="1" applyBorder="1"/>
    <xf numFmtId="168" fontId="13" fillId="7" borderId="12" xfId="0" applyNumberFormat="1" applyFont="1" applyFill="1" applyBorder="1"/>
    <xf numFmtId="0" fontId="13" fillId="7" borderId="21" xfId="0" applyFont="1" applyFill="1" applyBorder="1" applyAlignment="1">
      <alignment horizontal="right"/>
    </xf>
    <xf numFmtId="0" fontId="13" fillId="7" borderId="13" xfId="0" applyFont="1" applyFill="1" applyBorder="1"/>
    <xf numFmtId="0" fontId="13" fillId="7" borderId="14" xfId="0" applyFont="1" applyFill="1" applyBorder="1"/>
    <xf numFmtId="0" fontId="13" fillId="7" borderId="15" xfId="0" applyFont="1" applyFill="1" applyBorder="1"/>
    <xf numFmtId="0" fontId="13" fillId="7" borderId="22" xfId="0" applyFont="1" applyFill="1" applyBorder="1" applyAlignment="1">
      <alignment horizontal="right"/>
    </xf>
    <xf numFmtId="0" fontId="13" fillId="7" borderId="16" xfId="0" applyFont="1" applyFill="1" applyBorder="1"/>
    <xf numFmtId="0" fontId="13" fillId="7" borderId="17" xfId="0" applyFont="1" applyFill="1" applyBorder="1"/>
    <xf numFmtId="0" fontId="13" fillId="7" borderId="18" xfId="0" applyFont="1" applyFill="1" applyBorder="1"/>
    <xf numFmtId="9" fontId="13" fillId="7" borderId="19" xfId="4" applyFont="1" applyFill="1" applyBorder="1"/>
    <xf numFmtId="2" fontId="13" fillId="7" borderId="19" xfId="0" applyNumberFormat="1" applyFont="1" applyFill="1" applyBorder="1"/>
    <xf numFmtId="2" fontId="13" fillId="7" borderId="23" xfId="0" applyNumberFormat="1" applyFont="1" applyFill="1" applyBorder="1"/>
    <xf numFmtId="2" fontId="13" fillId="7" borderId="20" xfId="0" applyNumberFormat="1" applyFont="1" applyFill="1" applyBorder="1"/>
    <xf numFmtId="0" fontId="58" fillId="0" borderId="0" xfId="0" quotePrefix="1" applyFont="1" applyAlignment="1" applyProtection="1">
      <alignment vertical="center"/>
      <protection locked="0"/>
    </xf>
    <xf numFmtId="1" fontId="22" fillId="0" borderId="0" xfId="0" applyNumberFormat="1" applyFont="1"/>
    <xf numFmtId="1" fontId="0" fillId="0" borderId="0" xfId="0" applyNumberFormat="1"/>
    <xf numFmtId="173" fontId="25" fillId="10" borderId="12" xfId="2" applyNumberFormat="1" applyFont="1" applyFill="1" applyBorder="1"/>
    <xf numFmtId="173" fontId="25" fillId="7" borderId="12" xfId="2" applyNumberFormat="1" applyFont="1" applyFill="1" applyBorder="1" applyAlignment="1">
      <alignment horizontal="right"/>
    </xf>
    <xf numFmtId="0" fontId="59" fillId="4" borderId="3" xfId="0" applyFont="1" applyFill="1" applyBorder="1" applyAlignment="1">
      <alignment horizontal="right" vertical="center" wrapText="1"/>
    </xf>
    <xf numFmtId="0" fontId="59" fillId="4" borderId="3" xfId="0" applyFont="1" applyFill="1" applyBorder="1" applyAlignment="1">
      <alignment vertical="center" wrapText="1"/>
    </xf>
    <xf numFmtId="0" fontId="59" fillId="0" borderId="3" xfId="0" applyFont="1" applyBorder="1" applyAlignment="1">
      <alignment vertical="center"/>
    </xf>
    <xf numFmtId="0" fontId="60" fillId="4" borderId="69" xfId="0" applyFont="1" applyFill="1" applyBorder="1" applyAlignment="1">
      <alignment horizontal="right" vertical="center"/>
    </xf>
    <xf numFmtId="0" fontId="60" fillId="4" borderId="8" xfId="0" applyFont="1" applyFill="1" applyBorder="1" applyAlignment="1">
      <alignment horizontal="right" vertical="center"/>
    </xf>
    <xf numFmtId="0" fontId="60" fillId="4" borderId="8" xfId="0" applyFont="1" applyFill="1" applyBorder="1" applyAlignment="1">
      <alignment vertical="center" wrapText="1"/>
    </xf>
    <xf numFmtId="0" fontId="60" fillId="4" borderId="8" xfId="0" applyFont="1" applyFill="1" applyBorder="1" applyAlignment="1">
      <alignment vertical="center"/>
    </xf>
    <xf numFmtId="0" fontId="60" fillId="0" borderId="8" xfId="0" applyFont="1" applyBorder="1" applyAlignment="1">
      <alignment vertical="center"/>
    </xf>
    <xf numFmtId="0" fontId="17" fillId="0" borderId="0" xfId="0" applyFont="1"/>
    <xf numFmtId="172" fontId="25" fillId="0" borderId="12" xfId="2" applyNumberFormat="1" applyFont="1" applyBorder="1"/>
    <xf numFmtId="9" fontId="38" fillId="0" borderId="12" xfId="0" applyNumberFormat="1" applyFont="1" applyBorder="1" applyAlignment="1">
      <alignment horizontal="center"/>
    </xf>
    <xf numFmtId="0" fontId="59" fillId="7" borderId="3" xfId="0" applyFont="1" applyFill="1" applyBorder="1" applyAlignment="1">
      <alignment horizontal="right" vertical="center" wrapText="1"/>
    </xf>
    <xf numFmtId="0" fontId="59" fillId="7" borderId="3" xfId="0" applyFont="1" applyFill="1" applyBorder="1" applyAlignment="1">
      <alignment vertical="center" wrapText="1"/>
    </xf>
    <xf numFmtId="0" fontId="59" fillId="7" borderId="3" xfId="0" applyFont="1" applyFill="1" applyBorder="1" applyAlignment="1">
      <alignment vertical="center"/>
    </xf>
    <xf numFmtId="0" fontId="60" fillId="7" borderId="69" xfId="0" applyFont="1" applyFill="1" applyBorder="1" applyAlignment="1">
      <alignment horizontal="right" vertical="center"/>
    </xf>
    <xf numFmtId="1" fontId="60" fillId="7" borderId="8" xfId="0" applyNumberFormat="1" applyFont="1" applyFill="1" applyBorder="1" applyAlignment="1">
      <alignment horizontal="right" vertical="center"/>
    </xf>
    <xf numFmtId="168" fontId="60" fillId="7" borderId="8" xfId="0" applyNumberFormat="1" applyFont="1" applyFill="1" applyBorder="1" applyAlignment="1">
      <alignment horizontal="right" vertical="center"/>
    </xf>
    <xf numFmtId="167" fontId="60" fillId="7" borderId="8" xfId="0" applyNumberFormat="1" applyFont="1" applyFill="1" applyBorder="1" applyAlignment="1">
      <alignment horizontal="right" vertical="center"/>
    </xf>
    <xf numFmtId="0" fontId="60" fillId="7" borderId="8" xfId="0" applyFont="1" applyFill="1" applyBorder="1" applyAlignment="1">
      <alignment horizontal="right" vertical="center"/>
    </xf>
    <xf numFmtId="0" fontId="60" fillId="7" borderId="8" xfId="0" applyFont="1" applyFill="1" applyBorder="1" applyAlignment="1">
      <alignment vertical="center" wrapText="1"/>
    </xf>
    <xf numFmtId="0" fontId="60" fillId="7" borderId="8" xfId="0" applyFont="1" applyFill="1" applyBorder="1" applyAlignment="1">
      <alignment vertical="center"/>
    </xf>
    <xf numFmtId="2" fontId="60" fillId="7" borderId="8" xfId="0" applyNumberFormat="1" applyFont="1" applyFill="1" applyBorder="1" applyAlignment="1">
      <alignment horizontal="right" vertical="center"/>
    </xf>
    <xf numFmtId="171" fontId="60" fillId="7" borderId="8" xfId="0" applyNumberFormat="1" applyFont="1" applyFill="1" applyBorder="1" applyAlignment="1">
      <alignment horizontal="right" vertical="center"/>
    </xf>
    <xf numFmtId="0" fontId="33" fillId="6" borderId="33" xfId="0" applyFont="1" applyFill="1" applyBorder="1" applyAlignment="1">
      <alignment horizontal="center" vertical="center" wrapText="1"/>
    </xf>
    <xf numFmtId="0" fontId="25" fillId="0" borderId="23" xfId="0" applyFont="1" applyBorder="1" applyAlignment="1">
      <alignment horizontal="left" vertical="top" wrapText="1"/>
    </xf>
    <xf numFmtId="0" fontId="25" fillId="0" borderId="20" xfId="0" applyFont="1" applyBorder="1" applyAlignment="1">
      <alignment horizontal="left" vertical="top" wrapText="1"/>
    </xf>
    <xf numFmtId="0" fontId="62" fillId="0" borderId="47" xfId="0" applyFont="1" applyBorder="1" applyAlignment="1">
      <alignment horizontal="center" vertical="top" wrapText="1"/>
    </xf>
    <xf numFmtId="0" fontId="62" fillId="0" borderId="72" xfId="0" applyFont="1" applyBorder="1" applyAlignment="1">
      <alignment horizontal="center" vertical="top" wrapText="1"/>
    </xf>
    <xf numFmtId="0" fontId="63" fillId="0" borderId="31" xfId="0" applyFont="1" applyBorder="1" applyAlignment="1">
      <alignment horizontal="center" vertical="top" wrapText="1"/>
    </xf>
    <xf numFmtId="0" fontId="2" fillId="7" borderId="0" xfId="0" applyFont="1" applyFill="1" applyAlignment="1" applyProtection="1">
      <alignment vertical="center" wrapText="1"/>
      <protection locked="0"/>
    </xf>
    <xf numFmtId="0" fontId="2" fillId="7" borderId="0" xfId="0" applyFont="1" applyFill="1" applyAlignment="1" applyProtection="1">
      <alignment vertical="top" wrapText="1"/>
      <protection locked="0"/>
    </xf>
    <xf numFmtId="0" fontId="2" fillId="17" borderId="0" xfId="0" applyFont="1" applyFill="1" applyAlignment="1" applyProtection="1">
      <alignment vertical="center" wrapText="1"/>
      <protection locked="0"/>
    </xf>
    <xf numFmtId="0" fontId="2" fillId="17" borderId="0" xfId="0" applyFont="1" applyFill="1" applyAlignment="1" applyProtection="1">
      <alignment vertical="center"/>
      <protection locked="0"/>
    </xf>
    <xf numFmtId="0" fontId="2" fillId="17" borderId="0" xfId="0" applyFont="1" applyFill="1" applyAlignment="1" applyProtection="1">
      <alignment vertical="top" wrapText="1"/>
      <protection locked="0"/>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2" fillId="3" borderId="10" xfId="0" applyFont="1" applyFill="1" applyBorder="1" applyAlignment="1">
      <alignment vertical="center" wrapText="1"/>
    </xf>
    <xf numFmtId="0" fontId="2" fillId="3" borderId="11" xfId="0" applyFont="1" applyFill="1" applyBorder="1" applyAlignment="1">
      <alignment vertical="center" wrapText="1"/>
    </xf>
    <xf numFmtId="164" fontId="2" fillId="0" borderId="27" xfId="2" applyNumberFormat="1" applyFont="1" applyBorder="1" applyAlignment="1">
      <alignment horizontal="center" vertical="center"/>
    </xf>
    <xf numFmtId="164" fontId="2" fillId="0" borderId="12" xfId="2" applyNumberFormat="1" applyFont="1" applyBorder="1" applyAlignment="1">
      <alignment horizontal="center" vertical="center"/>
    </xf>
    <xf numFmtId="0" fontId="25" fillId="0" borderId="19" xfId="0" applyFont="1" applyBorder="1" applyAlignment="1">
      <alignment horizontal="left" vertical="top"/>
    </xf>
    <xf numFmtId="0" fontId="34" fillId="18" borderId="0" xfId="0" applyFont="1" applyFill="1" applyAlignment="1" applyProtection="1">
      <alignment vertical="center" wrapText="1"/>
      <protection locked="0"/>
    </xf>
    <xf numFmtId="0" fontId="1" fillId="18" borderId="0" xfId="0" applyFont="1" applyFill="1"/>
    <xf numFmtId="0" fontId="34" fillId="7" borderId="0" xfId="0" applyFont="1" applyFill="1" applyAlignment="1" applyProtection="1">
      <alignment vertical="center"/>
      <protection locked="0"/>
    </xf>
    <xf numFmtId="0" fontId="1" fillId="7" borderId="0" xfId="0" applyFont="1" applyFill="1"/>
    <xf numFmtId="0" fontId="1" fillId="0" borderId="0" xfId="0" applyFont="1"/>
    <xf numFmtId="0" fontId="1" fillId="6" borderId="9" xfId="0" applyFont="1" applyFill="1" applyBorder="1" applyAlignment="1">
      <alignment horizontal="right" vertical="center"/>
    </xf>
    <xf numFmtId="0" fontId="1" fillId="6" borderId="0" xfId="0" applyFont="1" applyFill="1" applyAlignment="1">
      <alignment horizontal="right" vertical="center"/>
    </xf>
    <xf numFmtId="0" fontId="1" fillId="6" borderId="0" xfId="0" applyFont="1" applyFill="1" applyAlignment="1">
      <alignment horizontal="right"/>
    </xf>
    <xf numFmtId="164" fontId="1" fillId="0" borderId="38" xfId="2" applyNumberFormat="1" applyFont="1" applyBorder="1" applyAlignment="1">
      <alignment horizontal="center" vertical="center"/>
    </xf>
    <xf numFmtId="164" fontId="1" fillId="0" borderId="27" xfId="2" applyNumberFormat="1" applyFont="1" applyBorder="1" applyAlignment="1">
      <alignment horizontal="center" vertical="center"/>
    </xf>
    <xf numFmtId="164" fontId="1" fillId="0" borderId="28" xfId="2" applyNumberFormat="1" applyFont="1" applyBorder="1" applyAlignment="1">
      <alignment horizontal="center" vertical="center"/>
    </xf>
    <xf numFmtId="164" fontId="1" fillId="0" borderId="37" xfId="2" applyNumberFormat="1" applyFont="1" applyBorder="1" applyAlignment="1">
      <alignment horizontal="center" vertical="center"/>
    </xf>
    <xf numFmtId="164" fontId="1" fillId="0" borderId="12" xfId="2" applyNumberFormat="1" applyFont="1" applyBorder="1" applyAlignment="1">
      <alignment horizontal="center" vertical="center"/>
    </xf>
    <xf numFmtId="164" fontId="1" fillId="0" borderId="20" xfId="2" applyNumberFormat="1" applyFont="1" applyBorder="1" applyAlignment="1">
      <alignment horizontal="center" vertical="center"/>
    </xf>
    <xf numFmtId="164" fontId="1" fillId="0" borderId="26" xfId="2" applyNumberFormat="1" applyFont="1" applyBorder="1" applyAlignment="1">
      <alignment horizontal="center" vertical="center"/>
    </xf>
    <xf numFmtId="164" fontId="1" fillId="0" borderId="46" xfId="2" applyNumberFormat="1" applyFont="1" applyBorder="1" applyAlignment="1">
      <alignment horizontal="center" vertical="center"/>
    </xf>
    <xf numFmtId="0" fontId="1" fillId="4" borderId="68" xfId="0" applyFont="1" applyFill="1" applyBorder="1"/>
    <xf numFmtId="0" fontId="1" fillId="0" borderId="0" xfId="0" applyFont="1" applyAlignment="1">
      <alignment vertical="center"/>
    </xf>
    <xf numFmtId="0" fontId="1" fillId="7" borderId="68" xfId="0" applyFont="1" applyFill="1" applyBorder="1"/>
    <xf numFmtId="0" fontId="25" fillId="0" borderId="23" xfId="0" applyFont="1" applyBorder="1" applyAlignment="1">
      <alignment horizontal="left" vertical="top" wrapText="1"/>
    </xf>
    <xf numFmtId="0" fontId="25" fillId="0" borderId="20" xfId="0" applyFont="1" applyBorder="1" applyAlignment="1">
      <alignment horizontal="left" vertical="top" wrapText="1"/>
    </xf>
    <xf numFmtId="0" fontId="33" fillId="6" borderId="12" xfId="0" applyFont="1" applyFill="1" applyBorder="1" applyAlignment="1">
      <alignment horizontal="center" vertical="center" wrapText="1"/>
    </xf>
    <xf numFmtId="0" fontId="33" fillId="6" borderId="12" xfId="0" applyFont="1" applyFill="1" applyBorder="1" applyAlignment="1">
      <alignment horizontal="center"/>
    </xf>
    <xf numFmtId="0" fontId="33" fillId="9" borderId="12" xfId="0" applyFont="1" applyFill="1" applyBorder="1" applyAlignment="1">
      <alignment horizontal="center"/>
    </xf>
    <xf numFmtId="14" fontId="0" fillId="0" borderId="0" xfId="0" applyNumberFormat="1"/>
    <xf numFmtId="0" fontId="13" fillId="0" borderId="73" xfId="0" applyFont="1" applyBorder="1"/>
    <xf numFmtId="0" fontId="0" fillId="0" borderId="0" xfId="0" applyFont="1" applyBorder="1"/>
    <xf numFmtId="49" fontId="0" fillId="0" borderId="0" xfId="0" applyNumberFormat="1" applyFont="1" applyBorder="1"/>
    <xf numFmtId="0" fontId="0" fillId="0" borderId="0" xfId="0" applyFont="1" applyFill="1" applyBorder="1"/>
    <xf numFmtId="0" fontId="22" fillId="0" borderId="0" xfId="0" applyFont="1" applyFill="1" applyBorder="1"/>
    <xf numFmtId="176" fontId="1" fillId="0" borderId="53" xfId="2" applyNumberFormat="1" applyFont="1" applyBorder="1" applyAlignment="1">
      <alignment horizontal="center" vertical="center"/>
    </xf>
    <xf numFmtId="176" fontId="2" fillId="0" borderId="21" xfId="2" applyNumberFormat="1" applyFont="1" applyBorder="1" applyAlignment="1">
      <alignment horizontal="center" vertical="center"/>
    </xf>
    <xf numFmtId="176" fontId="1" fillId="0" borderId="21" xfId="2" applyNumberFormat="1" applyFont="1" applyBorder="1" applyAlignment="1">
      <alignment horizontal="center" vertical="center"/>
    </xf>
    <xf numFmtId="176" fontId="1" fillId="0" borderId="39" xfId="2" applyNumberFormat="1" applyFont="1" applyBorder="1" applyAlignment="1">
      <alignment horizontal="center" vertical="center"/>
    </xf>
    <xf numFmtId="175" fontId="1" fillId="0" borderId="37" xfId="2" applyNumberFormat="1" applyFont="1" applyBorder="1" applyAlignment="1">
      <alignment horizontal="center" vertical="center"/>
    </xf>
    <xf numFmtId="175" fontId="2" fillId="0" borderId="12" xfId="2" applyNumberFormat="1" applyFont="1" applyBorder="1" applyAlignment="1">
      <alignment horizontal="center" vertical="center"/>
    </xf>
    <xf numFmtId="175" fontId="1" fillId="0" borderId="12" xfId="2" applyNumberFormat="1" applyFont="1" applyBorder="1" applyAlignment="1">
      <alignment horizontal="center" vertical="center"/>
    </xf>
    <xf numFmtId="175" fontId="1" fillId="0" borderId="20" xfId="2" applyNumberFormat="1" applyFont="1" applyBorder="1" applyAlignment="1">
      <alignment horizontal="center" vertical="center"/>
    </xf>
    <xf numFmtId="175" fontId="1" fillId="0" borderId="26" xfId="2" applyNumberFormat="1" applyFont="1" applyBorder="1" applyAlignment="1">
      <alignment horizontal="center" vertical="center"/>
    </xf>
    <xf numFmtId="176" fontId="1" fillId="0" borderId="37" xfId="2" applyNumberFormat="1" applyFont="1" applyBorder="1" applyAlignment="1">
      <alignment horizontal="center" vertical="center"/>
    </xf>
    <xf numFmtId="176" fontId="2" fillId="0" borderId="12" xfId="2" applyNumberFormat="1" applyFont="1" applyBorder="1" applyAlignment="1">
      <alignment horizontal="center" vertical="center"/>
    </xf>
    <xf numFmtId="176" fontId="1" fillId="0" borderId="12" xfId="2" applyNumberFormat="1" applyFont="1" applyBorder="1" applyAlignment="1">
      <alignment horizontal="center" vertical="center"/>
    </xf>
    <xf numFmtId="176" fontId="1" fillId="0" borderId="20" xfId="2" applyNumberFormat="1" applyFont="1" applyBorder="1" applyAlignment="1">
      <alignment horizontal="center" vertical="center"/>
    </xf>
    <xf numFmtId="176" fontId="1" fillId="0" borderId="26" xfId="2" applyNumberFormat="1" applyFont="1" applyBorder="1" applyAlignment="1">
      <alignment horizontal="center" vertical="center"/>
    </xf>
    <xf numFmtId="168" fontId="0" fillId="0" borderId="0" xfId="0" applyNumberFormat="1" applyFont="1" applyBorder="1"/>
    <xf numFmtId="1" fontId="0" fillId="0" borderId="0" xfId="0" applyNumberFormat="1" applyFont="1" applyBorder="1"/>
    <xf numFmtId="174" fontId="25" fillId="10" borderId="12" xfId="2" applyNumberFormat="1" applyFont="1" applyFill="1" applyBorder="1"/>
    <xf numFmtId="174" fontId="25" fillId="0" borderId="12" xfId="2" applyNumberFormat="1" applyFont="1" applyBorder="1"/>
    <xf numFmtId="173" fontId="25" fillId="0" borderId="12" xfId="2" applyNumberFormat="1" applyFont="1" applyBorder="1"/>
    <xf numFmtId="167" fontId="0" fillId="0" borderId="0" xfId="0" applyNumberFormat="1"/>
    <xf numFmtId="177" fontId="1" fillId="0" borderId="38" xfId="2" applyNumberFormat="1" applyFont="1" applyBorder="1" applyAlignment="1">
      <alignment horizontal="center" vertical="center"/>
    </xf>
    <xf numFmtId="177" fontId="2" fillId="0" borderId="27" xfId="2" applyNumberFormat="1" applyFont="1" applyBorder="1" applyAlignment="1">
      <alignment horizontal="center" vertical="center"/>
    </xf>
    <xf numFmtId="177" fontId="1" fillId="0" borderId="27" xfId="2" applyNumberFormat="1" applyFont="1" applyBorder="1" applyAlignment="1">
      <alignment horizontal="center" vertical="center"/>
    </xf>
    <xf numFmtId="177" fontId="1" fillId="0" borderId="46" xfId="2" applyNumberFormat="1" applyFont="1" applyBorder="1" applyAlignment="1">
      <alignment horizontal="center" vertical="center"/>
    </xf>
    <xf numFmtId="177" fontId="1" fillId="0" borderId="28" xfId="2" applyNumberFormat="1" applyFont="1" applyBorder="1" applyAlignment="1">
      <alignment horizontal="center" vertical="center"/>
    </xf>
    <xf numFmtId="173" fontId="25" fillId="10" borderId="12" xfId="2" quotePrefix="1" applyNumberFormat="1" applyFont="1" applyFill="1" applyBorder="1" applyAlignment="1">
      <alignment horizontal="right"/>
    </xf>
    <xf numFmtId="0" fontId="27" fillId="7" borderId="43" xfId="0" applyFont="1" applyFill="1" applyBorder="1" applyAlignment="1">
      <alignment horizontal="left" vertical="center" wrapText="1"/>
    </xf>
    <xf numFmtId="0" fontId="27" fillId="7" borderId="29" xfId="0" applyFont="1" applyFill="1" applyBorder="1" applyAlignment="1">
      <alignment horizontal="left" vertical="center" wrapText="1"/>
    </xf>
    <xf numFmtId="0" fontId="48" fillId="7" borderId="0" xfId="0" applyFont="1" applyFill="1" applyAlignment="1">
      <alignment horizontal="left" vertical="center"/>
    </xf>
    <xf numFmtId="0" fontId="13" fillId="7" borderId="21" xfId="0" applyFont="1" applyFill="1" applyBorder="1" applyAlignment="1">
      <alignment horizontal="left" vertical="top"/>
    </xf>
    <xf numFmtId="0" fontId="13" fillId="7" borderId="42" xfId="0" applyFont="1" applyFill="1" applyBorder="1" applyAlignment="1">
      <alignment horizontal="left" vertical="top"/>
    </xf>
    <xf numFmtId="0" fontId="13" fillId="7" borderId="22" xfId="0" applyFont="1" applyFill="1" applyBorder="1" applyAlignment="1">
      <alignment horizontal="left" vertical="top"/>
    </xf>
    <xf numFmtId="0" fontId="30" fillId="6" borderId="19" xfId="0" applyFont="1" applyFill="1" applyBorder="1" applyAlignment="1">
      <alignment horizontal="left" vertical="center" wrapText="1"/>
    </xf>
    <xf numFmtId="0" fontId="30" fillId="6" borderId="23" xfId="0" applyFont="1" applyFill="1" applyBorder="1" applyAlignment="1">
      <alignment horizontal="left" vertical="center" wrapText="1"/>
    </xf>
    <xf numFmtId="0" fontId="30" fillId="6" borderId="17" xfId="0" applyFont="1" applyFill="1" applyBorder="1" applyAlignment="1">
      <alignment horizontal="left" vertical="center" wrapText="1"/>
    </xf>
    <xf numFmtId="0" fontId="30" fillId="6" borderId="18" xfId="0" applyFont="1" applyFill="1" applyBorder="1" applyAlignment="1">
      <alignment horizontal="left" vertical="center" wrapText="1"/>
    </xf>
    <xf numFmtId="0" fontId="15" fillId="8" borderId="19" xfId="0" applyFont="1" applyFill="1" applyBorder="1" applyAlignment="1">
      <alignment horizontal="left"/>
    </xf>
    <xf numFmtId="0" fontId="15" fillId="8" borderId="23" xfId="0" applyFont="1" applyFill="1" applyBorder="1" applyAlignment="1">
      <alignment horizontal="left"/>
    </xf>
    <xf numFmtId="0" fontId="15" fillId="8" borderId="20" xfId="0" applyFont="1" applyFill="1" applyBorder="1" applyAlignment="1">
      <alignment horizontal="left"/>
    </xf>
    <xf numFmtId="0" fontId="30" fillId="6" borderId="20" xfId="0" applyFont="1" applyFill="1" applyBorder="1" applyAlignment="1">
      <alignment horizontal="left" vertical="center" wrapText="1"/>
    </xf>
    <xf numFmtId="0" fontId="30" fillId="6" borderId="13" xfId="0" applyFont="1" applyFill="1" applyBorder="1" applyAlignment="1">
      <alignment horizontal="left" vertical="center" wrapText="1"/>
    </xf>
    <xf numFmtId="0" fontId="30" fillId="6" borderId="14" xfId="0" applyFont="1" applyFill="1" applyBorder="1" applyAlignment="1">
      <alignment horizontal="left" vertical="center" wrapText="1"/>
    </xf>
    <xf numFmtId="0" fontId="30" fillId="6" borderId="15" xfId="0" applyFont="1" applyFill="1" applyBorder="1" applyAlignment="1">
      <alignment horizontal="left" vertical="center" wrapText="1"/>
    </xf>
    <xf numFmtId="0" fontId="19" fillId="7" borderId="13" xfId="0" applyFont="1" applyFill="1" applyBorder="1" applyAlignment="1">
      <alignment horizontal="left" vertical="top" wrapText="1"/>
    </xf>
    <xf numFmtId="0" fontId="19" fillId="7" borderId="43" xfId="0" applyFont="1" applyFill="1" applyBorder="1" applyAlignment="1">
      <alignment horizontal="left" vertical="top" wrapText="1"/>
    </xf>
    <xf numFmtId="0" fontId="7" fillId="7" borderId="21" xfId="0" applyFont="1" applyFill="1" applyBorder="1" applyAlignment="1">
      <alignment horizontal="left" vertical="top" wrapText="1"/>
    </xf>
    <xf numFmtId="0" fontId="7" fillId="7" borderId="42" xfId="0" applyFont="1" applyFill="1" applyBorder="1" applyAlignment="1">
      <alignment horizontal="left" vertical="top" wrapText="1"/>
    </xf>
    <xf numFmtId="0" fontId="7" fillId="7" borderId="13" xfId="0" applyFont="1" applyFill="1" applyBorder="1" applyAlignment="1">
      <alignment horizontal="left" vertical="top" wrapText="1"/>
    </xf>
    <xf numFmtId="0" fontId="7" fillId="7" borderId="43" xfId="0" applyFont="1" applyFill="1" applyBorder="1" applyAlignment="1">
      <alignment horizontal="left" vertical="top" wrapText="1"/>
    </xf>
    <xf numFmtId="0" fontId="19" fillId="7" borderId="21" xfId="0" applyFont="1" applyFill="1" applyBorder="1" applyAlignment="1">
      <alignment horizontal="left" vertical="top" wrapText="1"/>
    </xf>
    <xf numFmtId="0" fontId="19" fillId="7" borderId="42" xfId="0" applyFont="1" applyFill="1" applyBorder="1" applyAlignment="1">
      <alignment horizontal="left" vertical="top" wrapText="1"/>
    </xf>
    <xf numFmtId="0" fontId="5" fillId="7" borderId="29" xfId="0" applyFont="1" applyFill="1" applyBorder="1" applyAlignment="1">
      <alignment horizontal="left" vertical="top" wrapText="1"/>
    </xf>
    <xf numFmtId="0" fontId="5" fillId="7" borderId="18" xfId="0" applyFont="1" applyFill="1" applyBorder="1" applyAlignment="1">
      <alignment horizontal="left" vertical="top" wrapText="1"/>
    </xf>
    <xf numFmtId="0" fontId="0" fillId="7" borderId="23" xfId="0" applyFill="1" applyBorder="1" applyAlignment="1">
      <alignment horizontal="left" wrapText="1"/>
    </xf>
    <xf numFmtId="0" fontId="0" fillId="7" borderId="20" xfId="0" applyFill="1" applyBorder="1" applyAlignment="1">
      <alignment horizontal="left" wrapText="1"/>
    </xf>
    <xf numFmtId="0" fontId="7" fillId="7" borderId="22" xfId="0" applyFont="1" applyFill="1" applyBorder="1" applyAlignment="1">
      <alignment horizontal="left" vertical="top" wrapText="1"/>
    </xf>
    <xf numFmtId="0" fontId="6" fillId="7" borderId="29" xfId="0" applyFont="1" applyFill="1" applyBorder="1" applyAlignment="1">
      <alignment horizontal="left" vertical="top" wrapText="1"/>
    </xf>
    <xf numFmtId="0" fontId="2" fillId="18" borderId="0" xfId="0" applyFont="1" applyFill="1" applyAlignment="1" applyProtection="1">
      <alignment horizontal="left" vertical="top" wrapText="1"/>
      <protection locked="0"/>
    </xf>
    <xf numFmtId="0" fontId="2" fillId="7" borderId="19" xfId="0" applyFont="1" applyFill="1" applyBorder="1" applyAlignment="1" applyProtection="1">
      <alignment horizontal="left" vertical="top" wrapText="1"/>
      <protection locked="0"/>
    </xf>
    <xf numFmtId="0" fontId="2" fillId="7" borderId="23" xfId="0" applyFont="1" applyFill="1" applyBorder="1" applyAlignment="1" applyProtection="1">
      <alignment horizontal="left" vertical="top" wrapText="1"/>
      <protection locked="0"/>
    </xf>
    <xf numFmtId="0" fontId="2" fillId="7" borderId="20" xfId="0" applyFont="1" applyFill="1" applyBorder="1" applyAlignment="1" applyProtection="1">
      <alignment horizontal="left" vertical="top" wrapText="1"/>
      <protection locked="0"/>
    </xf>
    <xf numFmtId="0" fontId="35" fillId="3" borderId="12" xfId="0" applyFont="1" applyFill="1" applyBorder="1" applyAlignment="1">
      <alignment vertical="center" wrapText="1"/>
    </xf>
    <xf numFmtId="0" fontId="35" fillId="7" borderId="19" xfId="0" applyFont="1" applyFill="1" applyBorder="1" applyAlignment="1" applyProtection="1">
      <alignment horizontal="left" vertical="top" wrapText="1"/>
      <protection locked="0"/>
    </xf>
    <xf numFmtId="0" fontId="35" fillId="7" borderId="23" xfId="0" applyFont="1" applyFill="1" applyBorder="1" applyAlignment="1" applyProtection="1">
      <alignment horizontal="left" vertical="top" wrapText="1"/>
      <protection locked="0"/>
    </xf>
    <xf numFmtId="0" fontId="35" fillId="7" borderId="20" xfId="0" applyFont="1" applyFill="1" applyBorder="1" applyAlignment="1" applyProtection="1">
      <alignment horizontal="left" vertical="top" wrapText="1"/>
      <protection locked="0"/>
    </xf>
    <xf numFmtId="0" fontId="7" fillId="5" borderId="19" xfId="0" applyFont="1" applyFill="1" applyBorder="1" applyAlignment="1">
      <alignment horizontal="left" vertical="center" wrapText="1"/>
    </xf>
    <xf numFmtId="0" fontId="7" fillId="5" borderId="23" xfId="0" applyFont="1" applyFill="1" applyBorder="1" applyAlignment="1">
      <alignment horizontal="left" vertical="center" wrapText="1"/>
    </xf>
    <xf numFmtId="0" fontId="7" fillId="5" borderId="20" xfId="0" applyFont="1" applyFill="1" applyBorder="1" applyAlignment="1">
      <alignment horizontal="left" vertical="center" wrapText="1"/>
    </xf>
    <xf numFmtId="0" fontId="2" fillId="3" borderId="12" xfId="0" applyFont="1" applyFill="1" applyBorder="1" applyAlignment="1">
      <alignment vertical="center" wrapText="1"/>
    </xf>
    <xf numFmtId="0" fontId="35" fillId="2" borderId="19" xfId="0" applyFont="1" applyFill="1" applyBorder="1" applyAlignment="1" applyProtection="1">
      <alignment horizontal="left" vertical="center" wrapText="1"/>
      <protection locked="0"/>
    </xf>
    <xf numFmtId="0" fontId="35" fillId="2" borderId="23" xfId="0" applyFont="1" applyFill="1" applyBorder="1" applyAlignment="1" applyProtection="1">
      <alignment horizontal="left" vertical="center" wrapText="1"/>
      <protection locked="0"/>
    </xf>
    <xf numFmtId="0" fontId="35" fillId="2" borderId="20" xfId="0" applyFont="1" applyFill="1" applyBorder="1" applyAlignment="1" applyProtection="1">
      <alignment horizontal="left" vertical="center" wrapText="1"/>
      <protection locked="0"/>
    </xf>
    <xf numFmtId="14" fontId="2" fillId="2" borderId="19" xfId="0" applyNumberFormat="1" applyFont="1" applyFill="1" applyBorder="1" applyAlignment="1" applyProtection="1">
      <alignment horizontal="left" vertical="center" wrapText="1"/>
      <protection locked="0"/>
    </xf>
    <xf numFmtId="0" fontId="2" fillId="2" borderId="23"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protection locked="0"/>
    </xf>
    <xf numFmtId="0" fontId="2" fillId="3" borderId="19"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3" borderId="12" xfId="0" applyFont="1" applyFill="1" applyBorder="1" applyAlignment="1">
      <alignment vertical="top" wrapText="1"/>
    </xf>
    <xf numFmtId="0" fontId="2" fillId="2" borderId="13" xfId="0" applyFont="1" applyFill="1" applyBorder="1" applyAlignment="1" applyProtection="1">
      <alignment horizontal="left" vertical="top" wrapText="1"/>
      <protection locked="0"/>
    </xf>
    <xf numFmtId="0" fontId="2" fillId="2" borderId="14"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3" borderId="12" xfId="0" applyFont="1" applyFill="1" applyBorder="1" applyAlignment="1">
      <alignment horizontal="left" vertical="top" wrapText="1"/>
    </xf>
    <xf numFmtId="0" fontId="2" fillId="2" borderId="19" xfId="0" applyFont="1" applyFill="1" applyBorder="1" applyAlignment="1" applyProtection="1">
      <alignment horizontal="left" vertical="center" wrapText="1"/>
      <protection locked="0"/>
    </xf>
    <xf numFmtId="0" fontId="35" fillId="2" borderId="19" xfId="0" applyFont="1" applyFill="1" applyBorder="1" applyAlignment="1" applyProtection="1">
      <alignment horizontal="left" vertical="top" wrapText="1"/>
      <protection locked="0"/>
    </xf>
    <xf numFmtId="0" fontId="35" fillId="2" borderId="23" xfId="0" applyFont="1" applyFill="1" applyBorder="1" applyAlignment="1" applyProtection="1">
      <alignment horizontal="left" vertical="top" wrapText="1"/>
      <protection locked="0"/>
    </xf>
    <xf numFmtId="0" fontId="35" fillId="2" borderId="20" xfId="0" applyFont="1" applyFill="1" applyBorder="1" applyAlignment="1" applyProtection="1">
      <alignment horizontal="left" vertical="top" wrapText="1"/>
      <protection locked="0"/>
    </xf>
    <xf numFmtId="0" fontId="35" fillId="3" borderId="13" xfId="0" applyFont="1" applyFill="1" applyBorder="1" applyAlignment="1">
      <alignment horizontal="left" vertical="top" wrapText="1"/>
    </xf>
    <xf numFmtId="0" fontId="35" fillId="3" borderId="15" xfId="0" applyFont="1" applyFill="1" applyBorder="1" applyAlignment="1">
      <alignment horizontal="left" vertical="top" wrapText="1"/>
    </xf>
    <xf numFmtId="0" fontId="35" fillId="3" borderId="16" xfId="0" applyFont="1" applyFill="1" applyBorder="1" applyAlignment="1">
      <alignment horizontal="left" vertical="top" wrapText="1"/>
    </xf>
    <xf numFmtId="0" fontId="35" fillId="3" borderId="18" xfId="0" applyFont="1" applyFill="1" applyBorder="1" applyAlignment="1">
      <alignment horizontal="left" vertical="top" wrapText="1"/>
    </xf>
    <xf numFmtId="0" fontId="33" fillId="9" borderId="12" xfId="0" applyFont="1" applyFill="1" applyBorder="1" applyAlignment="1">
      <alignment horizontal="center"/>
    </xf>
    <xf numFmtId="0" fontId="33" fillId="6" borderId="12" xfId="0" applyFont="1" applyFill="1" applyBorder="1" applyAlignment="1">
      <alignment horizontal="center"/>
    </xf>
    <xf numFmtId="0" fontId="35" fillId="3" borderId="13" xfId="0" applyFont="1" applyFill="1" applyBorder="1" applyAlignment="1">
      <alignment horizontal="left" vertical="center" wrapText="1"/>
    </xf>
    <xf numFmtId="0" fontId="35" fillId="3" borderId="15" xfId="0" applyFont="1" applyFill="1" applyBorder="1" applyAlignment="1">
      <alignment horizontal="left" vertical="center" wrapText="1"/>
    </xf>
    <xf numFmtId="0" fontId="35" fillId="3" borderId="43" xfId="0" applyFont="1" applyFill="1" applyBorder="1" applyAlignment="1">
      <alignment horizontal="left" vertical="center" wrapText="1"/>
    </xf>
    <xf numFmtId="0" fontId="35" fillId="3" borderId="29" xfId="0" applyFont="1" applyFill="1" applyBorder="1" applyAlignment="1">
      <alignment horizontal="left" vertical="center" wrapText="1"/>
    </xf>
    <xf numFmtId="0" fontId="35" fillId="3" borderId="16" xfId="0" applyFont="1" applyFill="1" applyBorder="1" applyAlignment="1">
      <alignment horizontal="left" vertical="center" wrapText="1"/>
    </xf>
    <xf numFmtId="0" fontId="35" fillId="3" borderId="18" xfId="0" applyFont="1" applyFill="1" applyBorder="1" applyAlignment="1">
      <alignment horizontal="left" vertical="center" wrapText="1"/>
    </xf>
    <xf numFmtId="0" fontId="35" fillId="7" borderId="13" xfId="0" applyFont="1" applyFill="1" applyBorder="1" applyAlignment="1">
      <alignment horizontal="left" vertical="center" wrapText="1"/>
    </xf>
    <xf numFmtId="0" fontId="35" fillId="7" borderId="15" xfId="0" applyFont="1" applyFill="1" applyBorder="1" applyAlignment="1">
      <alignment horizontal="left" vertical="center" wrapText="1"/>
    </xf>
    <xf numFmtId="0" fontId="35" fillId="7" borderId="43" xfId="0" applyFont="1" applyFill="1" applyBorder="1" applyAlignment="1">
      <alignment horizontal="left" vertical="center" wrapText="1"/>
    </xf>
    <xf numFmtId="0" fontId="35" fillId="7" borderId="29"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5" fillId="7" borderId="42" xfId="0" applyFont="1" applyFill="1" applyBorder="1" applyAlignment="1">
      <alignment horizontal="left" vertical="center" wrapText="1"/>
    </xf>
    <xf numFmtId="0" fontId="35" fillId="7" borderId="22" xfId="0" applyFont="1" applyFill="1" applyBorder="1" applyAlignment="1">
      <alignment horizontal="left" vertical="center" wrapText="1"/>
    </xf>
    <xf numFmtId="0" fontId="35" fillId="3" borderId="12" xfId="0" applyFont="1" applyFill="1" applyBorder="1" applyAlignment="1">
      <alignment horizontal="left" vertical="top" wrapText="1"/>
    </xf>
    <xf numFmtId="0" fontId="35" fillId="7" borderId="13" xfId="0" applyFont="1" applyFill="1" applyBorder="1" applyAlignment="1">
      <alignment horizontal="left" vertical="top" wrapText="1"/>
    </xf>
    <xf numFmtId="0" fontId="35" fillId="7" borderId="14" xfId="0" applyFont="1" applyFill="1" applyBorder="1" applyAlignment="1">
      <alignment horizontal="left" vertical="top" wrapText="1"/>
    </xf>
    <xf numFmtId="0" fontId="35" fillId="7" borderId="15" xfId="0" applyFont="1" applyFill="1" applyBorder="1" applyAlignment="1">
      <alignment horizontal="left" vertical="top" wrapText="1"/>
    </xf>
    <xf numFmtId="0" fontId="35" fillId="7" borderId="16" xfId="0" applyFont="1" applyFill="1" applyBorder="1" applyAlignment="1">
      <alignment horizontal="left" vertical="top" wrapText="1"/>
    </xf>
    <xf numFmtId="0" fontId="35" fillId="7" borderId="17" xfId="0" applyFont="1" applyFill="1" applyBorder="1" applyAlignment="1">
      <alignment horizontal="left" vertical="top" wrapText="1"/>
    </xf>
    <xf numFmtId="0" fontId="35" fillId="7" borderId="18" xfId="0" applyFont="1" applyFill="1" applyBorder="1" applyAlignment="1">
      <alignment horizontal="left" vertical="top" wrapText="1"/>
    </xf>
    <xf numFmtId="0" fontId="35" fillId="11" borderId="12" xfId="0" applyFont="1" applyFill="1" applyBorder="1" applyAlignment="1">
      <alignment horizontal="left" vertical="center" wrapText="1"/>
    </xf>
    <xf numFmtId="0" fontId="33" fillId="6" borderId="12" xfId="0" applyFont="1" applyFill="1" applyBorder="1" applyAlignment="1">
      <alignment horizontal="center" vertical="center" wrapText="1"/>
    </xf>
    <xf numFmtId="0" fontId="35" fillId="7" borderId="12" xfId="0" applyFont="1" applyFill="1" applyBorder="1" applyAlignment="1">
      <alignment horizontal="left" vertical="top" wrapText="1"/>
    </xf>
    <xf numFmtId="0" fontId="35" fillId="7" borderId="21" xfId="0" applyFont="1" applyFill="1" applyBorder="1" applyAlignment="1">
      <alignment horizontal="left" vertical="top" wrapText="1"/>
    </xf>
    <xf numFmtId="0" fontId="35" fillId="7" borderId="22" xfId="0" applyFont="1" applyFill="1" applyBorder="1" applyAlignment="1">
      <alignment horizontal="left" vertical="top" wrapText="1"/>
    </xf>
    <xf numFmtId="0" fontId="35" fillId="3" borderId="12" xfId="0" applyFont="1" applyFill="1" applyBorder="1" applyAlignment="1">
      <alignment horizontal="left" vertical="center" wrapText="1"/>
    </xf>
    <xf numFmtId="43" fontId="35" fillId="2" borderId="19" xfId="2" applyFont="1" applyFill="1" applyBorder="1" applyAlignment="1" applyProtection="1">
      <alignment horizontal="left" vertical="center" wrapText="1"/>
      <protection locked="0"/>
    </xf>
    <xf numFmtId="43" fontId="35" fillId="2" borderId="23" xfId="2" applyFont="1" applyFill="1" applyBorder="1" applyAlignment="1" applyProtection="1">
      <alignment horizontal="left" vertical="center" wrapText="1"/>
      <protection locked="0"/>
    </xf>
    <xf numFmtId="43" fontId="35" fillId="2" borderId="20" xfId="2" applyFont="1" applyFill="1" applyBorder="1" applyAlignment="1" applyProtection="1">
      <alignment horizontal="left" vertical="center" wrapText="1"/>
      <protection locked="0"/>
    </xf>
    <xf numFmtId="173" fontId="35" fillId="2" borderId="19" xfId="2" applyNumberFormat="1" applyFont="1" applyFill="1" applyBorder="1" applyAlignment="1" applyProtection="1">
      <alignment horizontal="left" vertical="center" wrapText="1"/>
      <protection locked="0"/>
    </xf>
    <xf numFmtId="173" fontId="35" fillId="2" borderId="23" xfId="2" applyNumberFormat="1" applyFont="1" applyFill="1" applyBorder="1" applyAlignment="1" applyProtection="1">
      <alignment horizontal="left" vertical="center" wrapText="1"/>
      <protection locked="0"/>
    </xf>
    <xf numFmtId="173" fontId="35" fillId="2" borderId="20" xfId="2" applyNumberFormat="1" applyFont="1" applyFill="1" applyBorder="1" applyAlignment="1" applyProtection="1">
      <alignment horizontal="left" vertical="center" wrapText="1"/>
      <protection locked="0"/>
    </xf>
    <xf numFmtId="0" fontId="33" fillId="6" borderId="19" xfId="0" applyFont="1" applyFill="1" applyBorder="1" applyAlignment="1">
      <alignment horizontal="center" vertical="center" wrapText="1"/>
    </xf>
    <xf numFmtId="0" fontId="33" fillId="6" borderId="20" xfId="0" applyFont="1" applyFill="1" applyBorder="1" applyAlignment="1">
      <alignment horizontal="center" vertical="center" wrapText="1"/>
    </xf>
    <xf numFmtId="0" fontId="35" fillId="2" borderId="13" xfId="0" quotePrefix="1" applyFont="1" applyFill="1" applyBorder="1" applyAlignment="1" applyProtection="1">
      <alignment horizontal="left" vertical="top" wrapText="1"/>
      <protection locked="0"/>
    </xf>
    <xf numFmtId="0" fontId="35" fillId="2" borderId="14" xfId="0" applyFont="1" applyFill="1" applyBorder="1" applyAlignment="1" applyProtection="1">
      <alignment horizontal="left" vertical="top" wrapText="1"/>
      <protection locked="0"/>
    </xf>
    <xf numFmtId="0" fontId="35" fillId="2" borderId="15" xfId="0" applyFont="1" applyFill="1" applyBorder="1" applyAlignment="1" applyProtection="1">
      <alignment horizontal="left" vertical="top" wrapText="1"/>
      <protection locked="0"/>
    </xf>
    <xf numFmtId="0" fontId="5" fillId="7" borderId="13" xfId="0" applyFont="1" applyFill="1" applyBorder="1" applyAlignment="1">
      <alignment horizontal="right" vertical="top" wrapText="1"/>
    </xf>
    <xf numFmtId="0" fontId="5" fillId="7" borderId="16" xfId="0" applyFont="1" applyFill="1" applyBorder="1" applyAlignment="1">
      <alignment horizontal="right" vertical="top" wrapText="1"/>
    </xf>
    <xf numFmtId="0" fontId="5" fillId="7" borderId="14" xfId="0" applyFont="1" applyFill="1" applyBorder="1" applyAlignment="1">
      <alignment horizontal="left" vertical="top" wrapText="1"/>
    </xf>
    <xf numFmtId="0" fontId="5" fillId="7" borderId="15" xfId="0" applyFont="1" applyFill="1" applyBorder="1" applyAlignment="1">
      <alignment horizontal="left" vertical="top" wrapText="1"/>
    </xf>
    <xf numFmtId="0" fontId="5" fillId="7" borderId="17" xfId="0" applyFont="1" applyFill="1" applyBorder="1" applyAlignment="1">
      <alignment horizontal="left" vertical="top" wrapText="1"/>
    </xf>
    <xf numFmtId="0" fontId="34" fillId="5" borderId="12" xfId="0" applyFont="1" applyFill="1" applyBorder="1" applyAlignment="1">
      <alignment horizontal="left" vertical="center" wrapText="1"/>
    </xf>
    <xf numFmtId="0" fontId="40" fillId="6" borderId="12" xfId="0" applyFont="1" applyFill="1" applyBorder="1" applyAlignment="1">
      <alignment horizontal="left" vertical="center" wrapText="1"/>
    </xf>
    <xf numFmtId="0" fontId="40" fillId="6" borderId="21" xfId="0" applyFont="1" applyFill="1" applyBorder="1" applyAlignment="1">
      <alignment horizontal="left" vertical="center" wrapText="1"/>
    </xf>
    <xf numFmtId="0" fontId="2" fillId="3" borderId="19" xfId="0" applyFont="1" applyFill="1" applyBorder="1" applyAlignment="1">
      <alignment horizontal="left" vertical="top" wrapText="1"/>
    </xf>
    <xf numFmtId="0" fontId="45" fillId="3" borderId="13" xfId="0" applyFont="1" applyFill="1" applyBorder="1" applyAlignment="1">
      <alignment horizontal="left" vertical="center" wrapText="1"/>
    </xf>
    <xf numFmtId="0" fontId="45" fillId="3" borderId="15" xfId="0" applyFont="1" applyFill="1" applyBorder="1" applyAlignment="1">
      <alignment horizontal="left" vertical="center" wrapText="1"/>
    </xf>
    <xf numFmtId="0" fontId="45" fillId="3" borderId="16" xfId="0" applyFont="1" applyFill="1" applyBorder="1" applyAlignment="1">
      <alignment horizontal="left" vertical="center" wrapText="1"/>
    </xf>
    <xf numFmtId="0" fontId="45" fillId="3" borderId="18" xfId="0" applyFont="1" applyFill="1" applyBorder="1" applyAlignment="1">
      <alignment horizontal="left" vertical="center" wrapText="1"/>
    </xf>
    <xf numFmtId="0" fontId="33" fillId="6" borderId="12" xfId="0" applyFont="1" applyFill="1" applyBorder="1" applyAlignment="1">
      <alignment horizontal="center" wrapText="1"/>
    </xf>
    <xf numFmtId="0" fontId="2" fillId="2" borderId="12" xfId="0" applyFont="1" applyFill="1" applyBorder="1" applyAlignment="1" applyProtection="1">
      <alignment horizontal="left" vertical="top" wrapText="1"/>
      <protection locked="0"/>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0" borderId="12" xfId="0" applyFont="1" applyBorder="1" applyAlignment="1" applyProtection="1">
      <alignment horizontal="left" vertical="top" wrapText="1"/>
      <protection locked="0"/>
    </xf>
    <xf numFmtId="0" fontId="35" fillId="7" borderId="12" xfId="0" applyFont="1" applyFill="1" applyBorder="1" applyAlignment="1">
      <alignment horizontal="center" vertical="top" wrapText="1"/>
    </xf>
    <xf numFmtId="0" fontId="2" fillId="0" borderId="13" xfId="0" applyFont="1" applyBorder="1" applyAlignment="1" applyProtection="1">
      <alignment horizontal="left" vertical="top" wrapText="1"/>
      <protection locked="0"/>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18" xfId="0" applyFont="1" applyBorder="1" applyAlignment="1" applyProtection="1">
      <alignment horizontal="left" vertical="top" wrapText="1"/>
      <protection locked="0"/>
    </xf>
    <xf numFmtId="0" fontId="2" fillId="7" borderId="12" xfId="0" applyFont="1" applyFill="1" applyBorder="1" applyAlignment="1">
      <alignment horizontal="left" vertical="top" wrapText="1"/>
    </xf>
    <xf numFmtId="0" fontId="34" fillId="5" borderId="13" xfId="0" applyFont="1" applyFill="1" applyBorder="1" applyAlignment="1">
      <alignment horizontal="left" vertical="top" wrapText="1"/>
    </xf>
    <xf numFmtId="0" fontId="34" fillId="5" borderId="14" xfId="0" applyFont="1" applyFill="1" applyBorder="1" applyAlignment="1">
      <alignment horizontal="left" vertical="top" wrapText="1"/>
    </xf>
    <xf numFmtId="0" fontId="33" fillId="6" borderId="13" xfId="0" applyFont="1" applyFill="1" applyBorder="1" applyAlignment="1">
      <alignment horizontal="center" wrapText="1"/>
    </xf>
    <xf numFmtId="0" fontId="33" fillId="6" borderId="15" xfId="0" applyFont="1" applyFill="1" applyBorder="1" applyAlignment="1">
      <alignment horizontal="center" wrapText="1"/>
    </xf>
    <xf numFmtId="0" fontId="33" fillId="6" borderId="16" xfId="0" applyFont="1" applyFill="1" applyBorder="1" applyAlignment="1">
      <alignment horizontal="center" wrapText="1"/>
    </xf>
    <xf numFmtId="0" fontId="33" fillId="6" borderId="18" xfId="0" applyFont="1" applyFill="1" applyBorder="1" applyAlignment="1">
      <alignment horizontal="center" wrapText="1"/>
    </xf>
    <xf numFmtId="0" fontId="33" fillId="6" borderId="21" xfId="0" applyFont="1" applyFill="1" applyBorder="1" applyAlignment="1">
      <alignment horizontal="center" wrapText="1"/>
    </xf>
    <xf numFmtId="0" fontId="33" fillId="6" borderId="22" xfId="0" applyFont="1" applyFill="1" applyBorder="1" applyAlignment="1">
      <alignment horizontal="center" wrapText="1"/>
    </xf>
    <xf numFmtId="0" fontId="34" fillId="5" borderId="19" xfId="0" applyFont="1" applyFill="1" applyBorder="1" applyAlignment="1">
      <alignment horizontal="left" vertical="center" wrapText="1"/>
    </xf>
    <xf numFmtId="0" fontId="34" fillId="5" borderId="23" xfId="0" applyFont="1" applyFill="1" applyBorder="1" applyAlignment="1">
      <alignment horizontal="left" vertical="center" wrapText="1"/>
    </xf>
    <xf numFmtId="0" fontId="34" fillId="5" borderId="20" xfId="0" applyFont="1" applyFill="1" applyBorder="1" applyAlignment="1">
      <alignment horizontal="left" vertical="center" wrapText="1"/>
    </xf>
    <xf numFmtId="0" fontId="34" fillId="6" borderId="13" xfId="0" applyFont="1" applyFill="1" applyBorder="1" applyAlignment="1">
      <alignment horizontal="center" wrapText="1"/>
    </xf>
    <xf numFmtId="0" fontId="34" fillId="6" borderId="14" xfId="0" applyFont="1" applyFill="1" applyBorder="1" applyAlignment="1">
      <alignment horizontal="center" wrapText="1"/>
    </xf>
    <xf numFmtId="0" fontId="34" fillId="6" borderId="15" xfId="0" applyFont="1" applyFill="1" applyBorder="1" applyAlignment="1">
      <alignment horizontal="center" wrapText="1"/>
    </xf>
    <xf numFmtId="0" fontId="34" fillId="6" borderId="16" xfId="0" applyFont="1" applyFill="1" applyBorder="1" applyAlignment="1">
      <alignment horizontal="center" wrapText="1"/>
    </xf>
    <xf numFmtId="0" fontId="34" fillId="6" borderId="17" xfId="0" applyFont="1" applyFill="1" applyBorder="1" applyAlignment="1">
      <alignment horizontal="center" wrapText="1"/>
    </xf>
    <xf numFmtId="0" fontId="34" fillId="6" borderId="18" xfId="0" applyFont="1" applyFill="1" applyBorder="1" applyAlignment="1">
      <alignment horizontal="center" wrapText="1"/>
    </xf>
    <xf numFmtId="0" fontId="2" fillId="3" borderId="12" xfId="0" applyFont="1" applyFill="1" applyBorder="1" applyAlignment="1">
      <alignment horizontal="left" vertical="center" wrapText="1"/>
    </xf>
    <xf numFmtId="0" fontId="35" fillId="6" borderId="13" xfId="0" applyFont="1" applyFill="1" applyBorder="1" applyAlignment="1">
      <alignment horizontal="left" vertical="top" wrapText="1"/>
    </xf>
    <xf numFmtId="0" fontId="35" fillId="6" borderId="15" xfId="0" applyFont="1" applyFill="1" applyBorder="1" applyAlignment="1">
      <alignment horizontal="left" vertical="top" wrapText="1"/>
    </xf>
    <xf numFmtId="0" fontId="35" fillId="6" borderId="16" xfId="0" applyFont="1" applyFill="1" applyBorder="1" applyAlignment="1">
      <alignment horizontal="left" vertical="top" wrapText="1"/>
    </xf>
    <xf numFmtId="0" fontId="35" fillId="6" borderId="18" xfId="0" applyFont="1" applyFill="1" applyBorder="1" applyAlignment="1">
      <alignment horizontal="left" vertical="top" wrapText="1"/>
    </xf>
    <xf numFmtId="0" fontId="25" fillId="0" borderId="19" xfId="0" applyFont="1" applyBorder="1" applyAlignment="1">
      <alignment horizontal="left" vertical="top" wrapText="1"/>
    </xf>
    <xf numFmtId="0" fontId="25" fillId="0" borderId="23" xfId="0" applyFont="1" applyBorder="1" applyAlignment="1">
      <alignment horizontal="left" vertical="top" wrapText="1"/>
    </xf>
    <xf numFmtId="0" fontId="25" fillId="0" borderId="20" xfId="0" applyFont="1" applyBorder="1" applyAlignment="1">
      <alignment horizontal="left" vertical="top" wrapText="1"/>
    </xf>
    <xf numFmtId="0" fontId="36" fillId="0" borderId="12" xfId="0" applyFont="1" applyBorder="1" applyAlignment="1">
      <alignment horizontal="center" vertical="top"/>
    </xf>
    <xf numFmtId="0" fontId="25" fillId="0" borderId="12" xfId="0" applyFont="1" applyBorder="1" applyAlignment="1">
      <alignment horizontal="left" vertical="top" wrapText="1"/>
    </xf>
    <xf numFmtId="0" fontId="25" fillId="0" borderId="26" xfId="0" applyFont="1" applyBorder="1" applyAlignment="1">
      <alignment horizontal="left" vertical="top" wrapText="1"/>
    </xf>
    <xf numFmtId="0" fontId="25" fillId="0" borderId="46" xfId="0" applyFont="1" applyBorder="1" applyAlignment="1">
      <alignment horizontal="left" vertical="top" wrapText="1"/>
    </xf>
    <xf numFmtId="0" fontId="25" fillId="0" borderId="27" xfId="0" applyFont="1" applyBorder="1" applyAlignment="1">
      <alignment horizontal="left" vertical="top" wrapText="1"/>
    </xf>
    <xf numFmtId="0" fontId="25" fillId="0" borderId="28" xfId="0" applyFont="1" applyBorder="1" applyAlignment="1">
      <alignment horizontal="left" vertical="top" wrapText="1"/>
    </xf>
    <xf numFmtId="0" fontId="25" fillId="0" borderId="34" xfId="0" applyFont="1" applyBorder="1" applyAlignment="1">
      <alignment horizontal="left" vertical="top" wrapText="1"/>
    </xf>
    <xf numFmtId="0" fontId="25" fillId="0" borderId="49" xfId="0" applyFont="1" applyBorder="1" applyAlignment="1">
      <alignment horizontal="left" vertical="top" wrapText="1"/>
    </xf>
    <xf numFmtId="0" fontId="25" fillId="0" borderId="45" xfId="0" applyFont="1" applyBorder="1" applyAlignment="1">
      <alignment horizontal="left" vertical="top" wrapText="1"/>
    </xf>
    <xf numFmtId="0" fontId="34" fillId="5" borderId="1" xfId="0" applyFont="1" applyFill="1" applyBorder="1" applyAlignment="1">
      <alignment vertical="center" wrapText="1"/>
    </xf>
    <xf numFmtId="0" fontId="34" fillId="5" borderId="2" xfId="0" applyFont="1" applyFill="1" applyBorder="1" applyAlignment="1">
      <alignment vertical="center" wrapText="1"/>
    </xf>
    <xf numFmtId="0" fontId="34" fillId="5" borderId="6" xfId="0" applyFont="1" applyFill="1" applyBorder="1" applyAlignment="1">
      <alignment vertical="center" wrapText="1"/>
    </xf>
    <xf numFmtId="0" fontId="34" fillId="5" borderId="5" xfId="0" applyFont="1" applyFill="1" applyBorder="1" applyAlignment="1">
      <alignment vertical="center" wrapText="1"/>
    </xf>
    <xf numFmtId="0" fontId="2" fillId="3" borderId="4"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2" fillId="3" borderId="0" xfId="0" applyFont="1" applyFill="1" applyAlignment="1">
      <alignment horizontal="left" vertical="center" wrapText="1"/>
    </xf>
    <xf numFmtId="0" fontId="33" fillId="6" borderId="36" xfId="0" applyFont="1" applyFill="1" applyBorder="1" applyAlignment="1">
      <alignment horizontal="center" vertical="center" wrapText="1"/>
    </xf>
    <xf numFmtId="0" fontId="33" fillId="6" borderId="24" xfId="0" applyFont="1" applyFill="1" applyBorder="1" applyAlignment="1">
      <alignment horizontal="center" vertical="center" wrapText="1"/>
    </xf>
    <xf numFmtId="0" fontId="2" fillId="0" borderId="37" xfId="0" applyFont="1" applyBorder="1" applyAlignment="1">
      <alignment horizontal="left" vertical="top" wrapText="1"/>
    </xf>
    <xf numFmtId="0" fontId="2" fillId="0" borderId="12" xfId="0" applyFont="1" applyBorder="1" applyAlignment="1">
      <alignment horizontal="left" vertical="top" wrapText="1"/>
    </xf>
    <xf numFmtId="0" fontId="2" fillId="0" borderId="38" xfId="0" applyFont="1" applyBorder="1" applyAlignment="1">
      <alignment horizontal="left" vertical="top" wrapText="1"/>
    </xf>
    <xf numFmtId="0" fontId="2" fillId="0" borderId="27" xfId="0" applyFont="1" applyBorder="1" applyAlignment="1">
      <alignment horizontal="left" vertical="top" wrapText="1"/>
    </xf>
    <xf numFmtId="0" fontId="2" fillId="7" borderId="19" xfId="0" applyFont="1" applyFill="1" applyBorder="1" applyAlignment="1">
      <alignment horizontal="center" vertical="top" wrapText="1"/>
    </xf>
    <xf numFmtId="164" fontId="1" fillId="0" borderId="37" xfId="2" applyNumberFormat="1" applyFont="1" applyBorder="1" applyAlignment="1">
      <alignment horizontal="center"/>
    </xf>
    <xf numFmtId="164" fontId="1" fillId="0" borderId="12" xfId="2" applyNumberFormat="1" applyFont="1" applyBorder="1" applyAlignment="1">
      <alignment horizontal="center"/>
    </xf>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7" borderId="19" xfId="0" applyFont="1" applyFill="1" applyBorder="1" applyAlignment="1">
      <alignment horizontal="center" vertical="center" wrapText="1"/>
    </xf>
    <xf numFmtId="0" fontId="2" fillId="7" borderId="56"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2" fillId="7" borderId="56" xfId="0" applyFont="1" applyFill="1" applyBorder="1" applyAlignment="1">
      <alignment horizontal="center" vertical="top" wrapText="1"/>
    </xf>
    <xf numFmtId="164" fontId="1" fillId="0" borderId="26" xfId="2" applyNumberFormat="1" applyFont="1" applyBorder="1" applyAlignment="1">
      <alignment horizontal="center"/>
    </xf>
    <xf numFmtId="0" fontId="34" fillId="5" borderId="10" xfId="0" applyFont="1" applyFill="1" applyBorder="1" applyAlignment="1">
      <alignment vertical="center" wrapText="1"/>
    </xf>
    <xf numFmtId="0" fontId="34" fillId="5" borderId="0" xfId="0" applyFont="1" applyFill="1" applyAlignment="1">
      <alignment vertical="center" wrapText="1"/>
    </xf>
    <xf numFmtId="0" fontId="34" fillId="5" borderId="11" xfId="0" applyFont="1" applyFill="1" applyBorder="1" applyAlignment="1">
      <alignment vertical="center" wrapText="1"/>
    </xf>
    <xf numFmtId="0" fontId="34" fillId="5" borderId="4" xfId="0" applyFont="1" applyFill="1" applyBorder="1" applyAlignment="1">
      <alignment vertical="center" wrapText="1"/>
    </xf>
    <xf numFmtId="0" fontId="2" fillId="3" borderId="5" xfId="0" applyFont="1" applyFill="1" applyBorder="1" applyAlignment="1">
      <alignment horizontal="left" vertical="center" wrapText="1"/>
    </xf>
    <xf numFmtId="0" fontId="2" fillId="2" borderId="4" xfId="0" applyFont="1" applyFill="1" applyBorder="1" applyAlignment="1">
      <alignment horizontal="left" vertical="top" wrapText="1"/>
    </xf>
    <xf numFmtId="0" fontId="2" fillId="2" borderId="6"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3" borderId="37" xfId="0" applyFont="1" applyFill="1" applyBorder="1" applyAlignment="1">
      <alignment horizontal="left" vertical="center" wrapText="1"/>
    </xf>
    <xf numFmtId="0" fontId="2" fillId="3" borderId="53" xfId="0" applyFont="1" applyFill="1" applyBorder="1" applyAlignment="1">
      <alignment horizontal="left" vertical="center" wrapText="1"/>
    </xf>
    <xf numFmtId="0" fontId="35" fillId="7" borderId="35" xfId="0" applyFont="1" applyFill="1" applyBorder="1" applyAlignment="1">
      <alignment horizontal="left" vertical="center" wrapText="1"/>
    </xf>
    <xf numFmtId="0" fontId="35" fillId="7" borderId="14" xfId="0" applyFont="1" applyFill="1" applyBorder="1" applyAlignment="1">
      <alignment horizontal="left" vertical="center" wrapText="1"/>
    </xf>
    <xf numFmtId="0" fontId="35" fillId="7" borderId="30"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2" borderId="41" xfId="0" applyFont="1" applyFill="1" applyBorder="1" applyAlignment="1">
      <alignment horizontal="left" vertical="top" wrapText="1"/>
    </xf>
    <xf numFmtId="0" fontId="2" fillId="2" borderId="54" xfId="0" applyFont="1" applyFill="1" applyBorder="1" applyAlignment="1">
      <alignment horizontal="left" vertical="top" wrapText="1"/>
    </xf>
    <xf numFmtId="0" fontId="2" fillId="2" borderId="52" xfId="0" applyFont="1" applyFill="1" applyBorder="1" applyAlignment="1">
      <alignment horizontal="left" vertical="top" wrapText="1"/>
    </xf>
    <xf numFmtId="0" fontId="35" fillId="7" borderId="37" xfId="0" applyFont="1" applyFill="1" applyBorder="1" applyAlignment="1">
      <alignment horizontal="left" vertical="center" wrapText="1"/>
    </xf>
    <xf numFmtId="0" fontId="35" fillId="7" borderId="12"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3" fillId="6" borderId="33" xfId="0" applyFont="1" applyFill="1" applyBorder="1" applyAlignment="1">
      <alignment horizontal="center" vertical="center" wrapTex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1" xfId="0" applyFont="1" applyFill="1" applyBorder="1" applyAlignment="1">
      <alignment vertical="center" wrapText="1"/>
    </xf>
    <xf numFmtId="0" fontId="2" fillId="3" borderId="2" xfId="0" applyFont="1" applyFill="1" applyBorder="1" applyAlignment="1">
      <alignment vertical="center" wrapText="1"/>
    </xf>
    <xf numFmtId="0" fontId="34" fillId="5" borderId="7" xfId="0" applyFont="1" applyFill="1" applyBorder="1" applyAlignment="1">
      <alignment vertical="center" wrapText="1"/>
    </xf>
    <xf numFmtId="0" fontId="34" fillId="5" borderId="9" xfId="0" applyFont="1" applyFill="1" applyBorder="1" applyAlignment="1">
      <alignment vertical="center" wrapText="1"/>
    </xf>
    <xf numFmtId="0" fontId="2" fillId="2" borderId="7" xfId="0" applyFont="1" applyFill="1" applyBorder="1" applyAlignment="1">
      <alignment horizontal="left" vertical="top" wrapText="1"/>
    </xf>
    <xf numFmtId="0" fontId="2" fillId="2" borderId="9" xfId="0" applyFont="1" applyFill="1" applyBorder="1" applyAlignment="1">
      <alignment horizontal="left" vertical="top" wrapText="1"/>
    </xf>
    <xf numFmtId="0" fontId="2" fillId="2" borderId="8" xfId="0" applyFont="1" applyFill="1" applyBorder="1" applyAlignment="1">
      <alignment horizontal="left" vertical="top" wrapText="1"/>
    </xf>
    <xf numFmtId="177" fontId="1" fillId="0" borderId="37" xfId="2" applyNumberFormat="1" applyFont="1" applyBorder="1" applyAlignment="1">
      <alignment horizontal="center"/>
    </xf>
    <xf numFmtId="177" fontId="1" fillId="0" borderId="12" xfId="2" applyNumberFormat="1" applyFont="1" applyBorder="1" applyAlignment="1">
      <alignment horizontal="center"/>
    </xf>
    <xf numFmtId="177" fontId="1" fillId="0" borderId="26" xfId="2" applyNumberFormat="1" applyFont="1" applyBorder="1" applyAlignment="1">
      <alignment horizontal="center"/>
    </xf>
    <xf numFmtId="0" fontId="52" fillId="12" borderId="1" xfId="0" applyFont="1" applyFill="1" applyBorder="1" applyAlignment="1">
      <alignment vertical="center" wrapText="1"/>
    </xf>
    <xf numFmtId="0" fontId="52" fillId="12" borderId="2" xfId="0" applyFont="1" applyFill="1" applyBorder="1" applyAlignment="1">
      <alignment vertical="center" wrapText="1"/>
    </xf>
    <xf numFmtId="0" fontId="52" fillId="12" borderId="3" xfId="0" applyFont="1" applyFill="1" applyBorder="1" applyAlignment="1">
      <alignment vertical="center" wrapText="1"/>
    </xf>
    <xf numFmtId="0" fontId="2" fillId="3" borderId="3" xfId="0" applyFont="1" applyFill="1" applyBorder="1" applyAlignment="1">
      <alignment vertical="center" wrapText="1"/>
    </xf>
    <xf numFmtId="14" fontId="2" fillId="2" borderId="4" xfId="0" applyNumberFormat="1" applyFont="1" applyFill="1" applyBorder="1" applyAlignment="1">
      <alignment horizontal="left" vertical="center" wrapText="1"/>
    </xf>
    <xf numFmtId="14" fontId="2" fillId="2" borderId="6" xfId="0" applyNumberFormat="1" applyFont="1" applyFill="1" applyBorder="1" applyAlignment="1">
      <alignment horizontal="left" vertical="center" wrapText="1"/>
    </xf>
    <xf numFmtId="14" fontId="2" fillId="2" borderId="5" xfId="0" applyNumberFormat="1" applyFont="1" applyFill="1" applyBorder="1" applyAlignment="1">
      <alignment horizontal="left" vertical="center" wrapText="1"/>
    </xf>
    <xf numFmtId="0" fontId="2" fillId="7" borderId="38" xfId="0" applyFont="1" applyFill="1" applyBorder="1" applyAlignment="1">
      <alignment horizontal="left" vertical="top" wrapText="1"/>
    </xf>
    <xf numFmtId="0" fontId="2" fillId="7" borderId="27" xfId="0" applyFont="1" applyFill="1" applyBorder="1" applyAlignment="1">
      <alignment horizontal="left" vertical="top" wrapText="1"/>
    </xf>
    <xf numFmtId="0" fontId="2" fillId="7" borderId="28" xfId="0" applyFont="1" applyFill="1" applyBorder="1" applyAlignment="1">
      <alignment horizontal="left" vertical="top" wrapText="1"/>
    </xf>
    <xf numFmtId="0" fontId="35" fillId="3" borderId="1" xfId="0" applyFont="1" applyFill="1" applyBorder="1" applyAlignment="1">
      <alignment vertical="center" wrapText="1"/>
    </xf>
    <xf numFmtId="0" fontId="35" fillId="3" borderId="3" xfId="0" applyFont="1" applyFill="1" applyBorder="1" applyAlignment="1">
      <alignment vertical="center" wrapText="1"/>
    </xf>
    <xf numFmtId="0" fontId="35" fillId="3" borderId="4" xfId="0" applyFont="1" applyFill="1" applyBorder="1" applyAlignment="1">
      <alignment horizontal="left" vertical="center" wrapText="1"/>
    </xf>
    <xf numFmtId="0" fontId="35" fillId="3" borderId="6" xfId="0" applyFont="1" applyFill="1" applyBorder="1" applyAlignment="1">
      <alignment horizontal="left" vertical="center" wrapText="1"/>
    </xf>
    <xf numFmtId="0" fontId="35" fillId="3" borderId="7" xfId="0" applyFont="1" applyFill="1" applyBorder="1" applyAlignment="1">
      <alignment horizontal="left" vertical="center" wrapText="1"/>
    </xf>
    <xf numFmtId="0" fontId="35" fillId="3" borderId="9" xfId="0" applyFont="1" applyFill="1" applyBorder="1" applyAlignment="1">
      <alignment horizontal="left" vertical="center" wrapText="1"/>
    </xf>
    <xf numFmtId="0" fontId="2" fillId="7" borderId="36" xfId="0" applyFont="1" applyFill="1" applyBorder="1" applyAlignment="1">
      <alignment horizontal="left" vertical="top" wrapText="1"/>
    </xf>
    <xf numFmtId="0" fontId="2" fillId="7" borderId="2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3" borderId="4" xfId="0" applyFont="1" applyFill="1" applyBorder="1" applyAlignment="1">
      <alignment vertical="top" wrapText="1"/>
    </xf>
    <xf numFmtId="0" fontId="2" fillId="3" borderId="5" xfId="0" applyFont="1" applyFill="1" applyBorder="1" applyAlignment="1">
      <alignment vertical="top"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14" fontId="2" fillId="2" borderId="2" xfId="0" applyNumberFormat="1" applyFont="1" applyFill="1" applyBorder="1" applyAlignment="1">
      <alignment horizontal="left" vertical="center" wrapText="1"/>
    </xf>
    <xf numFmtId="14" fontId="2" fillId="2" borderId="3" xfId="0" applyNumberFormat="1" applyFont="1" applyFill="1" applyBorder="1" applyAlignment="1">
      <alignment horizontal="left" vertical="center" wrapText="1"/>
    </xf>
    <xf numFmtId="0" fontId="33" fillId="6" borderId="32" xfId="0" applyFont="1" applyFill="1" applyBorder="1" applyAlignment="1">
      <alignment horizontal="center" vertical="center" wrapText="1"/>
    </xf>
    <xf numFmtId="0" fontId="33" fillId="6" borderId="31" xfId="0" applyFont="1" applyFill="1" applyBorder="1" applyAlignment="1">
      <alignment horizontal="center" vertical="center" wrapText="1"/>
    </xf>
    <xf numFmtId="0" fontId="33" fillId="6" borderId="34" xfId="0" applyFont="1" applyFill="1" applyBorder="1" applyAlignment="1">
      <alignment horizontal="center" vertical="center" wrapText="1"/>
    </xf>
    <xf numFmtId="0" fontId="33" fillId="6" borderId="49" xfId="0" applyFont="1" applyFill="1" applyBorder="1" applyAlignment="1">
      <alignment horizontal="center" vertical="center" wrapText="1"/>
    </xf>
    <xf numFmtId="0" fontId="35" fillId="3" borderId="1" xfId="0" applyFont="1" applyFill="1" applyBorder="1" applyAlignment="1">
      <alignment horizontal="left" vertical="center" wrapText="1"/>
    </xf>
    <xf numFmtId="0" fontId="35" fillId="3" borderId="41" xfId="0" applyFont="1" applyFill="1" applyBorder="1" applyAlignment="1">
      <alignment horizontal="left" vertical="center" wrapText="1"/>
    </xf>
    <xf numFmtId="176" fontId="1" fillId="0" borderId="12" xfId="2" applyNumberFormat="1" applyFont="1" applyBorder="1" applyAlignment="1">
      <alignment horizontal="center"/>
    </xf>
    <xf numFmtId="176" fontId="1" fillId="0" borderId="26" xfId="2" applyNumberFormat="1" applyFont="1" applyBorder="1" applyAlignment="1">
      <alignment horizontal="center"/>
    </xf>
    <xf numFmtId="173" fontId="35" fillId="2" borderId="7" xfId="2" applyNumberFormat="1" applyFont="1" applyFill="1" applyBorder="1" applyAlignment="1" applyProtection="1">
      <alignment horizontal="left" vertical="center" wrapText="1"/>
    </xf>
    <xf numFmtId="173" fontId="35" fillId="2" borderId="9" xfId="2" applyNumberFormat="1" applyFont="1" applyFill="1" applyBorder="1" applyAlignment="1" applyProtection="1">
      <alignment horizontal="left" vertical="center" wrapText="1"/>
    </xf>
    <xf numFmtId="173" fontId="35" fillId="2" borderId="8" xfId="2" applyNumberFormat="1" applyFont="1" applyFill="1" applyBorder="1" applyAlignment="1" applyProtection="1">
      <alignment horizontal="left" vertical="center" wrapText="1"/>
    </xf>
    <xf numFmtId="0" fontId="35" fillId="3" borderId="10" xfId="0" applyFont="1" applyFill="1" applyBorder="1" applyAlignment="1">
      <alignment horizontal="left" vertical="center" wrapText="1"/>
    </xf>
    <xf numFmtId="0" fontId="35" fillId="3" borderId="0" xfId="0" applyFont="1" applyFill="1" applyAlignment="1">
      <alignment horizontal="left" vertical="center" wrapText="1"/>
    </xf>
    <xf numFmtId="0" fontId="2" fillId="6" borderId="1" xfId="0" applyFont="1" applyFill="1" applyBorder="1" applyAlignment="1">
      <alignment horizontal="left" vertical="center" wrapText="1"/>
    </xf>
    <xf numFmtId="0" fontId="2" fillId="6" borderId="3" xfId="0" applyFont="1" applyFill="1" applyBorder="1" applyAlignment="1">
      <alignment horizontal="left" vertical="center" wrapText="1"/>
    </xf>
    <xf numFmtId="176" fontId="1" fillId="0" borderId="37" xfId="2" applyNumberFormat="1" applyFont="1" applyBorder="1" applyAlignment="1">
      <alignment horizontal="center"/>
    </xf>
    <xf numFmtId="164" fontId="1" fillId="0" borderId="36" xfId="2" applyNumberFormat="1" applyFont="1" applyBorder="1" applyAlignment="1">
      <alignment horizontal="center"/>
    </xf>
    <xf numFmtId="164" fontId="1" fillId="0" borderId="24" xfId="2" applyNumberFormat="1" applyFont="1" applyBorder="1" applyAlignment="1">
      <alignment horizontal="center"/>
    </xf>
    <xf numFmtId="164" fontId="1" fillId="0" borderId="25" xfId="2" applyNumberFormat="1" applyFont="1" applyBorder="1" applyAlignment="1">
      <alignment horizontal="center"/>
    </xf>
    <xf numFmtId="0" fontId="35" fillId="7" borderId="4" xfId="0" applyFont="1" applyFill="1" applyBorder="1" applyAlignment="1">
      <alignment horizontal="left" vertical="top" wrapText="1"/>
    </xf>
    <xf numFmtId="0" fontId="35" fillId="7" borderId="6" xfId="0" applyFont="1" applyFill="1" applyBorder="1" applyAlignment="1">
      <alignment horizontal="left" vertical="top" wrapText="1"/>
    </xf>
    <xf numFmtId="0" fontId="35" fillId="7" borderId="10" xfId="0" applyFont="1" applyFill="1" applyBorder="1" applyAlignment="1">
      <alignment horizontal="left" vertical="top" wrapText="1"/>
    </xf>
    <xf numFmtId="0" fontId="35" fillId="7" borderId="0" xfId="0" applyFont="1" applyFill="1" applyAlignment="1">
      <alignment horizontal="left" vertical="top" wrapText="1"/>
    </xf>
    <xf numFmtId="0" fontId="35" fillId="7" borderId="35" xfId="0" applyFont="1" applyFill="1" applyBorder="1" applyAlignment="1">
      <alignment horizontal="center" vertical="top" wrapText="1"/>
    </xf>
    <xf numFmtId="0" fontId="35" fillId="7" borderId="14" xfId="0" applyFont="1" applyFill="1" applyBorder="1" applyAlignment="1">
      <alignment horizontal="center" vertical="top" wrapText="1"/>
    </xf>
    <xf numFmtId="0" fontId="35" fillId="7" borderId="50" xfId="0" applyFont="1" applyFill="1" applyBorder="1" applyAlignment="1">
      <alignment horizontal="center" vertical="top" wrapText="1"/>
    </xf>
    <xf numFmtId="0" fontId="35" fillId="7" borderId="7" xfId="0" applyFont="1" applyFill="1" applyBorder="1" applyAlignment="1">
      <alignment horizontal="center" vertical="top" wrapText="1"/>
    </xf>
    <xf numFmtId="0" fontId="35" fillId="7" borderId="9" xfId="0" applyFont="1" applyFill="1" applyBorder="1" applyAlignment="1">
      <alignment horizontal="center" vertical="top" wrapText="1"/>
    </xf>
    <xf numFmtId="0" fontId="35" fillId="7" borderId="8" xfId="0" applyFont="1" applyFill="1" applyBorder="1" applyAlignment="1">
      <alignment horizontal="center" vertical="top" wrapText="1"/>
    </xf>
    <xf numFmtId="0" fontId="34" fillId="5" borderId="3" xfId="0" applyFont="1" applyFill="1" applyBorder="1" applyAlignment="1">
      <alignment vertical="center" wrapText="1"/>
    </xf>
    <xf numFmtId="178" fontId="35" fillId="2" borderId="20" xfId="2" applyNumberFormat="1" applyFont="1" applyFill="1" applyBorder="1" applyAlignment="1">
      <alignment horizontal="center" vertical="center" wrapText="1"/>
    </xf>
    <xf numFmtId="178" fontId="35" fillId="2" borderId="12" xfId="2" applyNumberFormat="1" applyFont="1" applyFill="1" applyBorder="1" applyAlignment="1">
      <alignment horizontal="center" vertical="center" wrapText="1"/>
    </xf>
    <xf numFmtId="178" fontId="35" fillId="2" borderId="19" xfId="2" applyNumberFormat="1" applyFont="1" applyFill="1" applyBorder="1" applyAlignment="1">
      <alignment horizontal="center" vertical="center" wrapText="1"/>
    </xf>
    <xf numFmtId="178" fontId="35" fillId="2" borderId="26" xfId="2" applyNumberFormat="1" applyFont="1" applyFill="1" applyBorder="1" applyAlignment="1">
      <alignment horizontal="center" vertical="center" wrapText="1"/>
    </xf>
    <xf numFmtId="0" fontId="2" fillId="7" borderId="1" xfId="0" applyFont="1" applyFill="1" applyBorder="1" applyAlignment="1" applyProtection="1">
      <alignment horizontal="left" vertical="center" wrapText="1"/>
      <protection locked="0"/>
    </xf>
    <xf numFmtId="0" fontId="2" fillId="7" borderId="2"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33" fillId="6" borderId="4" xfId="0" applyFont="1" applyFill="1" applyBorder="1" applyAlignment="1">
      <alignment horizontal="center" vertical="center" wrapText="1"/>
    </xf>
    <xf numFmtId="0" fontId="33" fillId="6" borderId="6" xfId="0" applyFont="1" applyFill="1" applyBorder="1" applyAlignment="1">
      <alignment horizontal="center" vertical="center" wrapText="1"/>
    </xf>
    <xf numFmtId="165" fontId="35" fillId="2" borderId="15" xfId="2" applyNumberFormat="1" applyFont="1" applyFill="1" applyBorder="1" applyAlignment="1">
      <alignment horizontal="center" vertical="center" wrapText="1"/>
    </xf>
    <xf numFmtId="165" fontId="35" fillId="2" borderId="21" xfId="2" applyNumberFormat="1" applyFont="1" applyFill="1" applyBorder="1" applyAlignment="1">
      <alignment horizontal="center" vertical="center" wrapText="1"/>
    </xf>
    <xf numFmtId="43" fontId="35" fillId="2" borderId="21" xfId="2" applyFont="1" applyFill="1" applyBorder="1" applyAlignment="1">
      <alignment horizontal="center" vertical="center" wrapText="1"/>
    </xf>
    <xf numFmtId="165" fontId="35" fillId="2" borderId="13" xfId="2" applyNumberFormat="1" applyFont="1" applyFill="1" applyBorder="1" applyAlignment="1">
      <alignment horizontal="center" vertical="center" wrapText="1"/>
    </xf>
    <xf numFmtId="165" fontId="35" fillId="2" borderId="39" xfId="2" applyNumberFormat="1" applyFont="1" applyFill="1" applyBorder="1" applyAlignment="1">
      <alignment horizontal="center" vertical="center" wrapText="1"/>
    </xf>
    <xf numFmtId="0" fontId="35" fillId="7" borderId="48" xfId="0" applyFont="1" applyFill="1" applyBorder="1" applyAlignment="1">
      <alignment horizontal="left" vertical="top" wrapText="1"/>
    </xf>
    <xf numFmtId="0" fontId="35" fillId="7" borderId="43" xfId="0" applyFont="1" applyFill="1" applyBorder="1" applyAlignment="1">
      <alignment horizontal="left" vertical="top" wrapText="1"/>
    </xf>
    <xf numFmtId="173" fontId="35" fillId="2" borderId="4" xfId="2" applyNumberFormat="1" applyFont="1" applyFill="1" applyBorder="1" applyAlignment="1" applyProtection="1">
      <alignment horizontal="left" vertical="center" wrapText="1"/>
    </xf>
    <xf numFmtId="173" fontId="35" fillId="2" borderId="6" xfId="2" applyNumberFormat="1" applyFont="1" applyFill="1" applyBorder="1" applyAlignment="1" applyProtection="1">
      <alignment horizontal="left" vertical="center" wrapText="1"/>
    </xf>
    <xf numFmtId="173" fontId="35" fillId="2" borderId="5" xfId="2" applyNumberFormat="1" applyFont="1" applyFill="1" applyBorder="1" applyAlignment="1" applyProtection="1">
      <alignment horizontal="left" vertical="center" wrapText="1"/>
    </xf>
    <xf numFmtId="43" fontId="35" fillId="2" borderId="1" xfId="2" applyFont="1" applyFill="1" applyBorder="1" applyAlignment="1" applyProtection="1">
      <alignment horizontal="left" vertical="center" wrapText="1"/>
    </xf>
    <xf numFmtId="43" fontId="35" fillId="2" borderId="2" xfId="2" applyFont="1" applyFill="1" applyBorder="1" applyAlignment="1" applyProtection="1">
      <alignment horizontal="left" vertical="center" wrapText="1"/>
    </xf>
    <xf numFmtId="43" fontId="35" fillId="2" borderId="3" xfId="2" applyFont="1" applyFill="1" applyBorder="1" applyAlignment="1" applyProtection="1">
      <alignment horizontal="left" vertical="center" wrapText="1"/>
    </xf>
    <xf numFmtId="0" fontId="5" fillId="7" borderId="35" xfId="0" applyFont="1" applyFill="1" applyBorder="1" applyAlignment="1">
      <alignment horizontal="right" vertical="top" wrapText="1"/>
    </xf>
    <xf numFmtId="0" fontId="5" fillId="7" borderId="30" xfId="0" applyFont="1" applyFill="1" applyBorder="1" applyAlignment="1">
      <alignment horizontal="right" vertical="top" wrapText="1"/>
    </xf>
    <xf numFmtId="0" fontId="35" fillId="3" borderId="4" xfId="0" applyFont="1" applyFill="1" applyBorder="1" applyAlignment="1">
      <alignment horizontal="left" vertical="top" wrapText="1"/>
    </xf>
    <xf numFmtId="0" fontId="35" fillId="3" borderId="5" xfId="0" applyFont="1" applyFill="1" applyBorder="1" applyAlignment="1">
      <alignment horizontal="left" vertical="top" wrapText="1"/>
    </xf>
    <xf numFmtId="0" fontId="35" fillId="2" borderId="1"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5" fillId="2" borderId="3" xfId="0" applyFont="1" applyFill="1" applyBorder="1" applyAlignment="1">
      <alignment horizontal="left" vertical="center" wrapText="1"/>
    </xf>
    <xf numFmtId="43" fontId="35" fillId="2" borderId="51" xfId="0" applyNumberFormat="1" applyFont="1" applyFill="1" applyBorder="1" applyAlignment="1">
      <alignment horizontal="center" vertical="center" wrapText="1"/>
    </xf>
    <xf numFmtId="0" fontId="35" fillId="2" borderId="2"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35" fillId="7" borderId="4" xfId="0" applyFont="1" applyFill="1" applyBorder="1" applyAlignment="1">
      <alignment horizontal="center" vertical="top" wrapText="1"/>
    </xf>
    <xf numFmtId="0" fontId="35" fillId="7" borderId="40" xfId="0" applyFont="1" applyFill="1" applyBorder="1" applyAlignment="1">
      <alignment horizontal="center" vertical="top" wrapText="1"/>
    </xf>
    <xf numFmtId="0" fontId="35" fillId="7" borderId="44" xfId="0" applyFont="1" applyFill="1" applyBorder="1" applyAlignment="1">
      <alignment horizontal="center" vertical="top" wrapText="1"/>
    </xf>
    <xf numFmtId="0" fontId="35" fillId="7" borderId="48" xfId="0" applyFont="1" applyFill="1" applyBorder="1" applyAlignment="1">
      <alignment horizontal="center" vertical="top" wrapText="1"/>
    </xf>
    <xf numFmtId="0" fontId="35" fillId="7" borderId="55" xfId="0" applyFont="1" applyFill="1" applyBorder="1" applyAlignment="1">
      <alignment horizontal="center" vertical="top" wrapText="1"/>
    </xf>
    <xf numFmtId="175" fontId="1" fillId="0" borderId="12" xfId="2" applyNumberFormat="1" applyFont="1" applyBorder="1" applyAlignment="1">
      <alignment horizontal="center"/>
    </xf>
    <xf numFmtId="175" fontId="1" fillId="0" borderId="26" xfId="2" applyNumberFormat="1" applyFont="1" applyBorder="1" applyAlignment="1">
      <alignment horizontal="center"/>
    </xf>
    <xf numFmtId="0" fontId="35" fillId="7" borderId="9" xfId="0" applyFont="1" applyFill="1" applyBorder="1" applyAlignment="1">
      <alignment horizontal="left" vertical="top" wrapText="1"/>
    </xf>
    <xf numFmtId="175" fontId="1" fillId="0" borderId="37" xfId="2" applyNumberFormat="1" applyFont="1" applyBorder="1" applyAlignment="1">
      <alignment horizontal="center"/>
    </xf>
    <xf numFmtId="0" fontId="35" fillId="7" borderId="16" xfId="0" applyFont="1" applyFill="1" applyBorder="1" applyAlignment="1">
      <alignment horizontal="left" vertical="center" wrapText="1"/>
    </xf>
    <xf numFmtId="0" fontId="33" fillId="6" borderId="40" xfId="0" applyFont="1" applyFill="1" applyBorder="1" applyAlignment="1">
      <alignment horizontal="center" vertical="center" wrapText="1"/>
    </xf>
    <xf numFmtId="0" fontId="2" fillId="0" borderId="10"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8" xfId="0" applyFont="1" applyBorder="1" applyAlignment="1">
      <alignment horizontal="left" vertical="center" wrapText="1"/>
    </xf>
    <xf numFmtId="0" fontId="2" fillId="0" borderId="35" xfId="0" applyFont="1" applyBorder="1" applyAlignment="1">
      <alignment horizontal="left" vertical="center" wrapText="1"/>
    </xf>
    <xf numFmtId="0" fontId="2" fillId="0" borderId="15" xfId="0" applyFont="1" applyBorder="1" applyAlignment="1">
      <alignment horizontal="left" vertical="center" wrapText="1"/>
    </xf>
    <xf numFmtId="0" fontId="2" fillId="0" borderId="7" xfId="0" applyFont="1" applyBorder="1" applyAlignment="1">
      <alignment horizontal="left" vertical="center" wrapText="1"/>
    </xf>
    <xf numFmtId="0" fontId="2" fillId="0" borderId="44" xfId="0" applyFont="1" applyBorder="1" applyAlignment="1">
      <alignment horizontal="left" vertical="center" wrapText="1"/>
    </xf>
    <xf numFmtId="0" fontId="35" fillId="7" borderId="55" xfId="0" applyFont="1" applyFill="1" applyBorder="1" applyAlignment="1">
      <alignment horizontal="left" vertical="center" wrapText="1"/>
    </xf>
    <xf numFmtId="0" fontId="5" fillId="7" borderId="7" xfId="0" applyFont="1" applyFill="1" applyBorder="1" applyAlignment="1">
      <alignment horizontal="right" vertical="top" wrapText="1"/>
    </xf>
    <xf numFmtId="0" fontId="2" fillId="3" borderId="4"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3" borderId="7" xfId="0" applyFont="1" applyFill="1" applyBorder="1" applyAlignment="1">
      <alignment horizontal="left" vertical="top" wrapText="1"/>
    </xf>
    <xf numFmtId="0" fontId="2" fillId="3" borderId="8" xfId="0" applyFont="1" applyFill="1" applyBorder="1" applyAlignment="1">
      <alignment horizontal="left" vertical="top" wrapText="1"/>
    </xf>
    <xf numFmtId="0" fontId="2" fillId="7" borderId="30" xfId="0" applyFont="1" applyFill="1" applyBorder="1" applyAlignment="1">
      <alignment horizontal="left" vertical="center" wrapText="1"/>
    </xf>
    <xf numFmtId="0" fontId="2" fillId="7" borderId="18" xfId="0" applyFont="1" applyFill="1" applyBorder="1" applyAlignment="1">
      <alignment horizontal="left" vertical="center" wrapText="1"/>
    </xf>
    <xf numFmtId="0" fontId="32" fillId="7" borderId="35" xfId="0" applyFont="1" applyFill="1" applyBorder="1" applyAlignment="1">
      <alignment horizontal="left"/>
    </xf>
    <xf numFmtId="0" fontId="32" fillId="7" borderId="15" xfId="0" applyFont="1" applyFill="1" applyBorder="1" applyAlignment="1">
      <alignment horizontal="left"/>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60" fillId="0" borderId="70" xfId="0" applyFont="1" applyBorder="1" applyAlignment="1">
      <alignment vertical="center"/>
    </xf>
    <xf numFmtId="0" fontId="60" fillId="0" borderId="71" xfId="0" applyFont="1" applyBorder="1" applyAlignment="1">
      <alignment vertical="center"/>
    </xf>
    <xf numFmtId="0" fontId="60" fillId="0" borderId="69" xfId="0" applyFont="1" applyBorder="1" applyAlignment="1">
      <alignment vertical="center"/>
    </xf>
    <xf numFmtId="0" fontId="60" fillId="7" borderId="70" xfId="0" applyFont="1" applyFill="1" applyBorder="1" applyAlignment="1">
      <alignment horizontal="center" vertical="center" wrapText="1"/>
    </xf>
    <xf numFmtId="0" fontId="60" fillId="7" borderId="71" xfId="0" applyFont="1" applyFill="1" applyBorder="1" applyAlignment="1">
      <alignment horizontal="center" vertical="center" wrapText="1"/>
    </xf>
    <xf numFmtId="0" fontId="60" fillId="7" borderId="69" xfId="0" applyFont="1" applyFill="1" applyBorder="1" applyAlignment="1">
      <alignment horizontal="center" vertical="center" wrapText="1"/>
    </xf>
    <xf numFmtId="0" fontId="55" fillId="15" borderId="65" xfId="3" applyFont="1" applyFill="1" applyBorder="1" applyAlignment="1">
      <alignment horizontal="center" vertical="center"/>
    </xf>
    <xf numFmtId="0" fontId="55" fillId="15" borderId="66" xfId="3" applyFont="1" applyFill="1" applyBorder="1" applyAlignment="1">
      <alignment horizontal="center" vertical="center"/>
    </xf>
    <xf numFmtId="0" fontId="55" fillId="15" borderId="67" xfId="3" applyFont="1" applyFill="1" applyBorder="1" applyAlignment="1">
      <alignment horizontal="center" vertical="center"/>
    </xf>
    <xf numFmtId="0" fontId="54" fillId="14" borderId="57" xfId="3" applyFont="1" applyFill="1" applyBorder="1" applyAlignment="1">
      <alignment horizontal="left" vertical="center"/>
    </xf>
    <xf numFmtId="0" fontId="54" fillId="14" borderId="58" xfId="3" applyFont="1" applyFill="1" applyBorder="1" applyAlignment="1">
      <alignment horizontal="left" vertical="center"/>
    </xf>
    <xf numFmtId="0" fontId="54" fillId="14" borderId="59" xfId="3" applyFont="1" applyFill="1" applyBorder="1" applyAlignment="1">
      <alignment horizontal="left" vertical="center" wrapText="1"/>
    </xf>
    <xf numFmtId="0" fontId="54" fillId="14" borderId="61" xfId="3" applyFont="1" applyFill="1" applyBorder="1" applyAlignment="1">
      <alignment horizontal="left" vertical="center" wrapText="1"/>
    </xf>
    <xf numFmtId="0" fontId="54" fillId="14" borderId="62" xfId="3" applyFont="1" applyFill="1" applyBorder="1" applyAlignment="1">
      <alignment horizontal="left" vertical="center" wrapText="1"/>
    </xf>
    <xf numFmtId="0" fontId="54" fillId="14" borderId="63" xfId="3" applyFont="1" applyFill="1" applyBorder="1" applyAlignment="1">
      <alignment horizontal="left" vertical="center"/>
    </xf>
    <xf numFmtId="0" fontId="54" fillId="14" borderId="61" xfId="3" applyFont="1" applyFill="1" applyBorder="1" applyAlignment="1">
      <alignment horizontal="left" vertical="center"/>
    </xf>
    <xf numFmtId="0" fontId="54" fillId="14" borderId="62" xfId="3" applyFont="1" applyFill="1" applyBorder="1" applyAlignment="1">
      <alignment horizontal="left" vertical="center"/>
    </xf>
    <xf numFmtId="0" fontId="16" fillId="14" borderId="57" xfId="3" applyFont="1" applyFill="1" applyBorder="1" applyAlignment="1">
      <alignment vertical="center"/>
    </xf>
    <xf numFmtId="0" fontId="16" fillId="14" borderId="58" xfId="3" applyFont="1" applyFill="1" applyBorder="1" applyAlignment="1">
      <alignment vertical="center"/>
    </xf>
    <xf numFmtId="0" fontId="54" fillId="14" borderId="63" xfId="3" applyFont="1" applyFill="1" applyBorder="1" applyAlignment="1">
      <alignment horizontal="left" vertical="center" wrapText="1"/>
    </xf>
  </cellXfs>
  <cellStyles count="5">
    <cellStyle name="Comma" xfId="2" builtinId="3"/>
    <cellStyle name="Hyperlink" xfId="1" builtinId="8"/>
    <cellStyle name="Normal" xfId="0" builtinId="0"/>
    <cellStyle name="Normal 2" xfId="3" xr:uid="{10182660-7C66-4D80-A578-0912D436C5BD}"/>
    <cellStyle name="Percent" xfId="4" builtinId="5"/>
  </cellStyles>
  <dxfs count="763">
    <dxf>
      <font>
        <b val="0"/>
        <i/>
        <color theme="1" tint="0.499984740745262"/>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dxf>
    <dxf>
      <font>
        <b val="0"/>
        <i/>
        <color theme="1" tint="0.499984740745262"/>
      </font>
    </dxf>
    <dxf>
      <font>
        <b val="0"/>
        <i/>
        <color theme="1" tint="0.499984740745262"/>
      </font>
    </dxf>
    <dxf>
      <font>
        <b val="0"/>
        <i/>
        <color theme="1" tint="0.499984740745262"/>
      </font>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dxf>
    <dxf>
      <font>
        <b val="0"/>
        <i/>
        <color theme="4" tint="0.39994506668294322"/>
      </font>
    </dxf>
    <dxf>
      <font>
        <b val="0"/>
        <i/>
        <color theme="4" tint="0.3999450666829432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4" tint="0.3999450666829432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
      <font>
        <b val="0"/>
        <i/>
        <color theme="1" tint="0.499984740745262"/>
      </font>
      <fill>
        <patternFill patternType="none">
          <bgColor auto="1"/>
        </patternFill>
      </fill>
    </dxf>
    <dxf>
      <font>
        <b val="0"/>
        <i/>
        <u val="none"/>
        <color theme="1" tint="0.499984740745262"/>
      </font>
      <fill>
        <patternFill patternType="none">
          <bgColor auto="1"/>
        </patternFill>
      </fill>
    </dxf>
  </dxfs>
  <tableStyles count="0" defaultTableStyle="TableStyleMedium9" defaultPivotStyle="PivotStyleMedium7"/>
  <colors>
    <mruColors>
      <color rgb="FFB4C6E7"/>
      <color rgb="FF73FD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4.png"/><Relationship Id="rId4" Type="http://schemas.openxmlformats.org/officeDocument/2006/relationships/image" Target="../media/image9.png"/><Relationship Id="rId9"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xdr:col>
      <xdr:colOff>25929</xdr:colOff>
      <xdr:row>23</xdr:row>
      <xdr:rowOff>42722</xdr:rowOff>
    </xdr:from>
    <xdr:to>
      <xdr:col>5</xdr:col>
      <xdr:colOff>1312334</xdr:colOff>
      <xdr:row>33</xdr:row>
      <xdr:rowOff>148166</xdr:rowOff>
    </xdr:to>
    <xdr:pic>
      <xdr:nvPicPr>
        <xdr:cNvPr id="3" name="Picture 2" descr="elated image">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28" b="1470"/>
        <a:stretch/>
      </xdr:blipFill>
      <xdr:spPr bwMode="auto">
        <a:xfrm>
          <a:off x="9540346" y="4032639"/>
          <a:ext cx="1286405" cy="2116277"/>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357184</xdr:colOff>
      <xdr:row>97</xdr:row>
      <xdr:rowOff>0</xdr:rowOff>
    </xdr:from>
    <xdr:to>
      <xdr:col>9</xdr:col>
      <xdr:colOff>229777</xdr:colOff>
      <xdr:row>135</xdr:row>
      <xdr:rowOff>13217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9989340" y="28670250"/>
          <a:ext cx="9600000" cy="8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71436</xdr:colOff>
      <xdr:row>33</xdr:row>
      <xdr:rowOff>251809</xdr:rowOff>
    </xdr:from>
    <xdr:to>
      <xdr:col>2</xdr:col>
      <xdr:colOff>1707181</xdr:colOff>
      <xdr:row>33</xdr:row>
      <xdr:rowOff>3170237</xdr:rowOff>
    </xdr:to>
    <xdr:pic>
      <xdr:nvPicPr>
        <xdr:cNvPr id="2" name="Picture 1">
          <a:extLst>
            <a:ext uri="{FF2B5EF4-FFF2-40B4-BE49-F238E27FC236}">
              <a16:creationId xmlns:a16="http://schemas.microsoft.com/office/drawing/2014/main" id="{E2009069-C3EF-4407-89F8-7C46581CE4BE}"/>
            </a:ext>
          </a:extLst>
        </xdr:cNvPr>
        <xdr:cNvPicPr>
          <a:picLocks noChangeAspect="1"/>
        </xdr:cNvPicPr>
      </xdr:nvPicPr>
      <xdr:blipFill>
        <a:blip xmlns:r="http://schemas.openxmlformats.org/officeDocument/2006/relationships" r:embed="rId1"/>
        <a:stretch>
          <a:fillRect/>
        </a:stretch>
      </xdr:blipFill>
      <xdr:spPr>
        <a:xfrm>
          <a:off x="414336" y="9465659"/>
          <a:ext cx="2473945" cy="2918428"/>
        </a:xfrm>
        <a:prstGeom prst="rect">
          <a:avLst/>
        </a:prstGeom>
      </xdr:spPr>
    </xdr:pic>
    <xdr:clientData/>
  </xdr:twoCellAnchor>
  <xdr:twoCellAnchor editAs="oneCell">
    <xdr:from>
      <xdr:col>22</xdr:col>
      <xdr:colOff>11906</xdr:colOff>
      <xdr:row>35</xdr:row>
      <xdr:rowOff>0</xdr:rowOff>
    </xdr:from>
    <xdr:to>
      <xdr:col>35</xdr:col>
      <xdr:colOff>735948</xdr:colOff>
      <xdr:row>43</xdr:row>
      <xdr:rowOff>107741</xdr:rowOff>
    </xdr:to>
    <xdr:pic>
      <xdr:nvPicPr>
        <xdr:cNvPr id="3" name="Picture 2">
          <a:extLst>
            <a:ext uri="{FF2B5EF4-FFF2-40B4-BE49-F238E27FC236}">
              <a16:creationId xmlns:a16="http://schemas.microsoft.com/office/drawing/2014/main" id="{D328D1FF-0D1D-48B3-BB8E-A588A20076C8}"/>
            </a:ext>
          </a:extLst>
        </xdr:cNvPr>
        <xdr:cNvPicPr>
          <a:picLocks noChangeAspect="1"/>
        </xdr:cNvPicPr>
      </xdr:nvPicPr>
      <xdr:blipFill>
        <a:blip xmlns:r="http://schemas.openxmlformats.org/officeDocument/2006/relationships" r:embed="rId2"/>
        <a:stretch>
          <a:fillRect/>
        </a:stretch>
      </xdr:blipFill>
      <xdr:spPr>
        <a:xfrm>
          <a:off x="21925756" y="12757150"/>
          <a:ext cx="11620642" cy="16507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71436</xdr:colOff>
      <xdr:row>33</xdr:row>
      <xdr:rowOff>251809</xdr:rowOff>
    </xdr:from>
    <xdr:to>
      <xdr:col>2</xdr:col>
      <xdr:colOff>1704006</xdr:colOff>
      <xdr:row>33</xdr:row>
      <xdr:rowOff>3173412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416717" y="10110184"/>
          <a:ext cx="2466008" cy="2915253"/>
        </a:xfrm>
        <a:prstGeom prst="rect">
          <a:avLst/>
        </a:prstGeom>
      </xdr:spPr>
    </xdr:pic>
    <xdr:clientData/>
  </xdr:twoCellAnchor>
  <xdr:twoCellAnchor editAs="oneCell">
    <xdr:from>
      <xdr:col>22</xdr:col>
      <xdr:colOff>11906</xdr:colOff>
      <xdr:row>35</xdr:row>
      <xdr:rowOff>0</xdr:rowOff>
    </xdr:from>
    <xdr:to>
      <xdr:col>35</xdr:col>
      <xdr:colOff>732773</xdr:colOff>
      <xdr:row>43</xdr:row>
      <xdr:rowOff>104566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1919406" y="15287625"/>
          <a:ext cx="11561905" cy="16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76197</xdr:colOff>
      <xdr:row>0</xdr:row>
      <xdr:rowOff>82922</xdr:rowOff>
    </xdr:from>
    <xdr:to>
      <xdr:col>14</xdr:col>
      <xdr:colOff>774697</xdr:colOff>
      <xdr:row>1</xdr:row>
      <xdr:rowOff>295647</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1703" y="82922"/>
          <a:ext cx="1538007" cy="478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53789</xdr:colOff>
      <xdr:row>27</xdr:row>
      <xdr:rowOff>55064</xdr:rowOff>
    </xdr:from>
    <xdr:to>
      <xdr:col>14</xdr:col>
      <xdr:colOff>714001</xdr:colOff>
      <xdr:row>27</xdr:row>
      <xdr:rowOff>3819413</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9923930" y="8051582"/>
          <a:ext cx="3191434" cy="3761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5</xdr:row>
      <xdr:rowOff>190501</xdr:rowOff>
    </xdr:from>
    <xdr:ext cx="12853048" cy="6581919"/>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279072"/>
          <a:ext cx="12853048" cy="6581919"/>
        </a:xfrm>
        <a:prstGeom prst="rect">
          <a:avLst/>
        </a:prstGeom>
      </xdr:spPr>
    </xdr:pic>
    <xdr:clientData/>
  </xdr:oneCellAnchor>
  <xdr:oneCellAnchor>
    <xdr:from>
      <xdr:col>0</xdr:col>
      <xdr:colOff>0</xdr:colOff>
      <xdr:row>45</xdr:row>
      <xdr:rowOff>0</xdr:rowOff>
    </xdr:from>
    <xdr:ext cx="5903082" cy="5626709"/>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9001125"/>
          <a:ext cx="5903082" cy="5626709"/>
        </a:xfrm>
        <a:prstGeom prst="rect">
          <a:avLst/>
        </a:prstGeom>
      </xdr:spPr>
    </xdr:pic>
    <xdr:clientData/>
  </xdr:oneCellAnchor>
  <xdr:twoCellAnchor editAs="oneCell">
    <xdr:from>
      <xdr:col>22</xdr:col>
      <xdr:colOff>0</xdr:colOff>
      <xdr:row>21</xdr:row>
      <xdr:rowOff>0</xdr:rowOff>
    </xdr:from>
    <xdr:to>
      <xdr:col>34</xdr:col>
      <xdr:colOff>330881</xdr:colOff>
      <xdr:row>62</xdr:row>
      <xdr:rowOff>22083</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5770679" y="4354286"/>
          <a:ext cx="9066667" cy="8390476"/>
        </a:xfrm>
        <a:prstGeom prst="rect">
          <a:avLst/>
        </a:prstGeom>
      </xdr:spPr>
    </xdr:pic>
    <xdr:clientData/>
  </xdr:twoCellAnchor>
  <xdr:twoCellAnchor editAs="oneCell">
    <xdr:from>
      <xdr:col>8</xdr:col>
      <xdr:colOff>417740</xdr:colOff>
      <xdr:row>96</xdr:row>
      <xdr:rowOff>77685</xdr:rowOff>
    </xdr:from>
    <xdr:to>
      <xdr:col>24</xdr:col>
      <xdr:colOff>285751</xdr:colOff>
      <xdr:row>154</xdr:row>
      <xdr:rowOff>16765</xdr:rowOff>
    </xdr:to>
    <xdr:pic>
      <xdr:nvPicPr>
        <xdr:cNvPr id="5" name="Picture 4" descr="Res verdeling tabel">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2919" y="19740006"/>
          <a:ext cx="11447689" cy="11777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99</xdr:row>
      <xdr:rowOff>0</xdr:rowOff>
    </xdr:from>
    <xdr:to>
      <xdr:col>37</xdr:col>
      <xdr:colOff>334554</xdr:colOff>
      <xdr:row>121</xdr:row>
      <xdr:rowOff>175623</xdr:rowOff>
    </xdr:to>
    <xdr:pic>
      <xdr:nvPicPr>
        <xdr:cNvPr id="6" name="Picture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69500" y="20274643"/>
          <a:ext cx="3736340" cy="4665980"/>
        </a:xfrm>
        <a:prstGeom prst="rect">
          <a:avLst/>
        </a:prstGeom>
      </xdr:spPr>
    </xdr:pic>
    <xdr:clientData/>
  </xdr:twoCellAnchor>
  <xdr:twoCellAnchor editAs="oneCell">
    <xdr:from>
      <xdr:col>39</xdr:col>
      <xdr:colOff>0</xdr:colOff>
      <xdr:row>99</xdr:row>
      <xdr:rowOff>0</xdr:rowOff>
    </xdr:from>
    <xdr:to>
      <xdr:col>41</xdr:col>
      <xdr:colOff>2293710</xdr:colOff>
      <xdr:row>121</xdr:row>
      <xdr:rowOff>77833</xdr:rowOff>
    </xdr:to>
    <xdr:pic>
      <xdr:nvPicPr>
        <xdr:cNvPr id="7" name="Picture 6">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7432000" y="20274643"/>
          <a:ext cx="3654425" cy="4568190"/>
        </a:xfrm>
        <a:prstGeom prst="rect">
          <a:avLst/>
        </a:prstGeom>
      </xdr:spPr>
    </xdr:pic>
    <xdr:clientData/>
  </xdr:twoCellAnchor>
  <xdr:twoCellAnchor editAs="oneCell">
    <xdr:from>
      <xdr:col>23</xdr:col>
      <xdr:colOff>0</xdr:colOff>
      <xdr:row>156</xdr:row>
      <xdr:rowOff>0</xdr:rowOff>
    </xdr:from>
    <xdr:to>
      <xdr:col>29</xdr:col>
      <xdr:colOff>425286</xdr:colOff>
      <xdr:row>174</xdr:row>
      <xdr:rowOff>126071</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a:fillRect/>
        </a:stretch>
      </xdr:blipFill>
      <xdr:spPr>
        <a:xfrm>
          <a:off x="16546286" y="31908750"/>
          <a:ext cx="4942857" cy="3800000"/>
        </a:xfrm>
        <a:prstGeom prst="rect">
          <a:avLst/>
        </a:prstGeom>
      </xdr:spPr>
    </xdr:pic>
    <xdr:clientData/>
  </xdr:twoCellAnchor>
  <xdr:twoCellAnchor editAs="oneCell">
    <xdr:from>
      <xdr:col>23</xdr:col>
      <xdr:colOff>0</xdr:colOff>
      <xdr:row>180</xdr:row>
      <xdr:rowOff>0</xdr:rowOff>
    </xdr:from>
    <xdr:to>
      <xdr:col>41</xdr:col>
      <xdr:colOff>1480048</xdr:colOff>
      <xdr:row>221</xdr:row>
      <xdr:rowOff>60178</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a:fillRect/>
        </a:stretch>
      </xdr:blipFill>
      <xdr:spPr>
        <a:xfrm>
          <a:off x="16546286" y="36807321"/>
          <a:ext cx="14161905" cy="8428571"/>
        </a:xfrm>
        <a:prstGeom prst="rect">
          <a:avLst/>
        </a:prstGeom>
      </xdr:spPr>
    </xdr:pic>
    <xdr:clientData/>
  </xdr:twoCellAnchor>
  <xdr:twoCellAnchor editAs="oneCell">
    <xdr:from>
      <xdr:col>41</xdr:col>
      <xdr:colOff>3292930</xdr:colOff>
      <xdr:row>96</xdr:row>
      <xdr:rowOff>199061</xdr:rowOff>
    </xdr:from>
    <xdr:to>
      <xdr:col>43</xdr:col>
      <xdr:colOff>708025</xdr:colOff>
      <xdr:row>120</xdr:row>
      <xdr:rowOff>126833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32085644" y="19861382"/>
          <a:ext cx="4082595" cy="4826344"/>
        </a:xfrm>
        <a:prstGeom prst="rect">
          <a:avLst/>
        </a:prstGeom>
      </xdr:spPr>
    </xdr:pic>
    <xdr:clientData/>
  </xdr:twoCellAnchor>
  <xdr:twoCellAnchor editAs="oneCell">
    <xdr:from>
      <xdr:col>14</xdr:col>
      <xdr:colOff>449036</xdr:colOff>
      <xdr:row>229</xdr:row>
      <xdr:rowOff>108858</xdr:rowOff>
    </xdr:from>
    <xdr:to>
      <xdr:col>23</xdr:col>
      <xdr:colOff>403392</xdr:colOff>
      <xdr:row>244</xdr:row>
      <xdr:rowOff>66675</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a:fillRect/>
        </a:stretch>
      </xdr:blipFill>
      <xdr:spPr>
        <a:xfrm>
          <a:off x="10681607" y="46917429"/>
          <a:ext cx="6540214" cy="3400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ea.org/statistics/resources/unitconvert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pbl.nl/sites/default/files/cms/publicaties/pbl-2019-conceptadvies-sde-plus-plus-2020-wind-op-land_3691.pdf" TargetMode="External"/><Relationship Id="rId2" Type="http://schemas.openxmlformats.org/officeDocument/2006/relationships/hyperlink" Target="https://www.tweedekamer.nl/downloads/document?id=d4a0cc14-9d15-4b86-b01d-42be0db3fb2a&amp;title=Monitor%20Wind%20op%20Land%202017.pdf" TargetMode="External"/><Relationship Id="rId1" Type="http://schemas.openxmlformats.org/officeDocument/2006/relationships/hyperlink" Target="https://www.ise.fraunhofer.de/content/dam/ise/de/documents/publications/studies/AgoraEnergiewende_Current_and_Future_Cost_of_PV_Feb2015_web.pdf" TargetMode="External"/><Relationship Id="rId6" Type="http://schemas.openxmlformats.org/officeDocument/2006/relationships/drawing" Target="../drawings/drawing5.xml"/><Relationship Id="rId5" Type="http://schemas.openxmlformats.org/officeDocument/2006/relationships/printerSettings" Target="../printerSettings/printerSettings6.bin"/><Relationship Id="rId4" Type="http://schemas.openxmlformats.org/officeDocument/2006/relationships/hyperlink" Target="https://quintel.com/re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P140"/>
  <sheetViews>
    <sheetView topLeftCell="A31" zoomScale="80" zoomScaleNormal="80" workbookViewId="0">
      <selection activeCell="D9" sqref="F9"/>
    </sheetView>
  </sheetViews>
  <sheetFormatPr defaultColWidth="11" defaultRowHeight="15.75" x14ac:dyDescent="0.25"/>
  <cols>
    <col min="1" max="1" width="11" style="1"/>
    <col min="2" max="2" width="23.875" style="1" customWidth="1"/>
    <col min="3" max="3" width="6.75" style="1" customWidth="1"/>
    <col min="4" max="4" width="79.125" style="1" customWidth="1"/>
    <col min="5" max="5" width="5.75" style="1" customWidth="1"/>
    <col min="6" max="6" width="94.875" style="1" customWidth="1"/>
    <col min="7" max="20" width="11" style="1"/>
    <col min="21" max="21" width="10.875" style="1" customWidth="1"/>
    <col min="22" max="16384" width="11" style="1"/>
  </cols>
  <sheetData>
    <row r="1" spans="1:6" ht="21" x14ac:dyDescent="0.35">
      <c r="A1" s="3" t="s">
        <v>33</v>
      </c>
    </row>
    <row r="3" spans="1:6" ht="15.75" customHeight="1" x14ac:dyDescent="0.25">
      <c r="A3" s="6" t="s">
        <v>34</v>
      </c>
      <c r="B3" s="17" t="s">
        <v>35</v>
      </c>
    </row>
    <row r="4" spans="1:6" ht="15.75" customHeight="1" x14ac:dyDescent="0.25">
      <c r="A4" s="6" t="s">
        <v>34</v>
      </c>
      <c r="B4" s="17" t="s">
        <v>36</v>
      </c>
    </row>
    <row r="5" spans="1:6" ht="15.75" customHeight="1" x14ac:dyDescent="0.25">
      <c r="A5" s="6" t="s">
        <v>34</v>
      </c>
      <c r="B5" s="17" t="s">
        <v>37</v>
      </c>
      <c r="F5" s="40"/>
    </row>
    <row r="6" spans="1:6" ht="15.75" customHeight="1" x14ac:dyDescent="0.3">
      <c r="A6" s="6" t="s">
        <v>34</v>
      </c>
      <c r="B6" s="17" t="s">
        <v>38</v>
      </c>
      <c r="C6" s="4"/>
    </row>
    <row r="7" spans="1:6" ht="15.75" customHeight="1" x14ac:dyDescent="0.3">
      <c r="A7" s="6" t="s">
        <v>34</v>
      </c>
      <c r="B7" s="17" t="s">
        <v>39</v>
      </c>
      <c r="C7" s="4"/>
    </row>
    <row r="8" spans="1:6" ht="15.75" customHeight="1" x14ac:dyDescent="0.3">
      <c r="A8" s="6" t="s">
        <v>34</v>
      </c>
      <c r="B8" s="17" t="s">
        <v>40</v>
      </c>
      <c r="C8" s="4"/>
    </row>
    <row r="9" spans="1:6" ht="15.75" customHeight="1" x14ac:dyDescent="0.3">
      <c r="A9" s="6"/>
      <c r="B9" s="122"/>
      <c r="C9" s="4"/>
    </row>
    <row r="10" spans="1:6" ht="15.75" customHeight="1" x14ac:dyDescent="0.3">
      <c r="A10" s="123" t="s">
        <v>41</v>
      </c>
      <c r="B10" s="17" t="s">
        <v>42</v>
      </c>
      <c r="C10" s="4"/>
    </row>
    <row r="11" spans="1:6" ht="15.75" customHeight="1" x14ac:dyDescent="0.3">
      <c r="A11" s="123" t="s">
        <v>41</v>
      </c>
      <c r="B11" s="17" t="s">
        <v>43</v>
      </c>
      <c r="C11" s="4"/>
    </row>
    <row r="12" spans="1:6" ht="15.75" customHeight="1" x14ac:dyDescent="0.3">
      <c r="A12" s="123" t="s">
        <v>41</v>
      </c>
      <c r="B12" s="17" t="s">
        <v>44</v>
      </c>
      <c r="C12" s="4"/>
    </row>
    <row r="13" spans="1:6" ht="15.75" customHeight="1" x14ac:dyDescent="0.3">
      <c r="A13" s="123" t="s">
        <v>41</v>
      </c>
      <c r="B13" s="17" t="s">
        <v>45</v>
      </c>
      <c r="C13" s="4"/>
    </row>
    <row r="14" spans="1:6" ht="15.75" customHeight="1" x14ac:dyDescent="0.3">
      <c r="A14" s="123" t="s">
        <v>41</v>
      </c>
      <c r="B14" s="17" t="s">
        <v>46</v>
      </c>
      <c r="C14" s="4"/>
    </row>
    <row r="15" spans="1:6" ht="15.75" customHeight="1" x14ac:dyDescent="0.3">
      <c r="A15" s="123" t="s">
        <v>41</v>
      </c>
      <c r="B15" s="17" t="s">
        <v>47</v>
      </c>
      <c r="C15" s="4"/>
    </row>
    <row r="16" spans="1:6" ht="21" x14ac:dyDescent="0.35">
      <c r="A16" s="3"/>
      <c r="B16" s="2"/>
      <c r="C16" s="2"/>
    </row>
    <row r="17" spans="2:6" ht="18.75" x14ac:dyDescent="0.3">
      <c r="B17" s="55" t="s">
        <v>48</v>
      </c>
      <c r="C17" s="321" t="s">
        <v>49</v>
      </c>
      <c r="D17" s="322"/>
      <c r="E17" s="321" t="s">
        <v>50</v>
      </c>
      <c r="F17" s="323"/>
    </row>
    <row r="18" spans="2:6" ht="15.75" customHeight="1" x14ac:dyDescent="0.25">
      <c r="B18" s="328" t="s">
        <v>51</v>
      </c>
      <c r="C18" s="37" t="s">
        <v>34</v>
      </c>
      <c r="D18" s="38" t="s">
        <v>52</v>
      </c>
      <c r="E18" s="23" t="s">
        <v>34</v>
      </c>
      <c r="F18" s="26" t="s">
        <v>53</v>
      </c>
    </row>
    <row r="19" spans="2:6" ht="15.75" customHeight="1" x14ac:dyDescent="0.25">
      <c r="B19" s="329"/>
      <c r="C19" s="47"/>
      <c r="D19" s="31"/>
      <c r="E19" s="48" t="s">
        <v>34</v>
      </c>
      <c r="F19" s="54" t="s">
        <v>54</v>
      </c>
    </row>
    <row r="20" spans="2:6" ht="15.75" customHeight="1" x14ac:dyDescent="0.25">
      <c r="B20" s="22" t="s">
        <v>55</v>
      </c>
      <c r="C20" s="12" t="s">
        <v>34</v>
      </c>
      <c r="D20" s="41" t="s">
        <v>56</v>
      </c>
      <c r="E20" s="84"/>
      <c r="F20" s="81"/>
    </row>
    <row r="21" spans="2:6" ht="31.5" x14ac:dyDescent="0.25">
      <c r="B21" s="141" t="s">
        <v>57</v>
      </c>
      <c r="C21" s="37" t="s">
        <v>34</v>
      </c>
      <c r="D21" s="45" t="s">
        <v>58</v>
      </c>
      <c r="E21" s="35" t="s">
        <v>34</v>
      </c>
      <c r="F21" s="85" t="s">
        <v>59</v>
      </c>
    </row>
    <row r="22" spans="2:6" ht="15.75" customHeight="1" x14ac:dyDescent="0.25">
      <c r="B22" s="139" t="s">
        <v>60</v>
      </c>
      <c r="C22" s="37" t="s">
        <v>34</v>
      </c>
      <c r="D22" s="42" t="s">
        <v>61</v>
      </c>
      <c r="E22" s="37" t="s">
        <v>34</v>
      </c>
      <c r="F22" s="19" t="s">
        <v>62</v>
      </c>
    </row>
    <row r="23" spans="2:6" ht="15.75" customHeight="1" x14ac:dyDescent="0.25">
      <c r="B23" s="330" t="s">
        <v>63</v>
      </c>
      <c r="C23" s="12" t="s">
        <v>34</v>
      </c>
      <c r="D23" s="42" t="s">
        <v>64</v>
      </c>
      <c r="E23" s="37" t="s">
        <v>34</v>
      </c>
      <c r="F23" s="19" t="s">
        <v>65</v>
      </c>
    </row>
    <row r="24" spans="2:6" ht="15.75" customHeight="1" x14ac:dyDescent="0.25">
      <c r="B24" s="331"/>
      <c r="C24" s="13"/>
      <c r="D24" s="43"/>
      <c r="E24" s="46"/>
      <c r="F24" s="29"/>
    </row>
    <row r="25" spans="2:6" ht="15.75" customHeight="1" x14ac:dyDescent="0.25">
      <c r="B25" s="331"/>
      <c r="C25" s="21"/>
      <c r="D25" s="44" t="s">
        <v>66</v>
      </c>
      <c r="E25" s="46"/>
      <c r="F25" s="29"/>
    </row>
    <row r="26" spans="2:6" ht="15.75" customHeight="1" x14ac:dyDescent="0.25">
      <c r="B26" s="331"/>
      <c r="C26" s="21" t="s">
        <v>67</v>
      </c>
      <c r="D26" s="43" t="s">
        <v>68</v>
      </c>
      <c r="E26" s="46"/>
      <c r="F26" s="29"/>
    </row>
    <row r="27" spans="2:6" ht="15.75" customHeight="1" x14ac:dyDescent="0.25">
      <c r="B27" s="331"/>
      <c r="C27" s="21" t="s">
        <v>69</v>
      </c>
      <c r="D27" s="43" t="s">
        <v>70</v>
      </c>
      <c r="E27" s="46"/>
      <c r="F27" s="29"/>
    </row>
    <row r="28" spans="2:6" ht="15.75" customHeight="1" x14ac:dyDescent="0.25">
      <c r="B28" s="331"/>
      <c r="C28" s="21" t="s">
        <v>71</v>
      </c>
      <c r="D28" s="43" t="s">
        <v>72</v>
      </c>
      <c r="E28" s="46"/>
      <c r="F28" s="29"/>
    </row>
    <row r="29" spans="2:6" ht="15.75" customHeight="1" x14ac:dyDescent="0.25">
      <c r="B29" s="331"/>
      <c r="C29" s="21" t="s">
        <v>73</v>
      </c>
      <c r="D29" s="43" t="s">
        <v>74</v>
      </c>
      <c r="E29" s="46"/>
      <c r="F29" s="29"/>
    </row>
    <row r="30" spans="2:6" ht="15.75" customHeight="1" x14ac:dyDescent="0.25">
      <c r="B30" s="331"/>
      <c r="C30" s="21" t="s">
        <v>75</v>
      </c>
      <c r="D30" s="43" t="s">
        <v>76</v>
      </c>
      <c r="E30" s="46"/>
      <c r="F30" s="29"/>
    </row>
    <row r="31" spans="2:6" ht="15.75" customHeight="1" x14ac:dyDescent="0.25">
      <c r="B31" s="331"/>
      <c r="C31" s="21" t="s">
        <v>77</v>
      </c>
      <c r="D31" s="43" t="s">
        <v>78</v>
      </c>
      <c r="E31" s="46"/>
      <c r="F31" s="29"/>
    </row>
    <row r="32" spans="2:6" ht="15.75" customHeight="1" x14ac:dyDescent="0.25">
      <c r="B32" s="331"/>
      <c r="C32" s="21" t="s">
        <v>79</v>
      </c>
      <c r="D32" s="43" t="s">
        <v>80</v>
      </c>
      <c r="E32" s="46"/>
      <c r="F32" s="29"/>
    </row>
    <row r="33" spans="2:16" ht="15.75" customHeight="1" x14ac:dyDescent="0.25">
      <c r="B33" s="331"/>
      <c r="C33" s="21" t="s">
        <v>81</v>
      </c>
      <c r="D33" s="43" t="s">
        <v>82</v>
      </c>
      <c r="E33" s="46"/>
      <c r="F33" s="29"/>
    </row>
    <row r="34" spans="2:16" ht="15.75" customHeight="1" x14ac:dyDescent="0.25">
      <c r="B34" s="331"/>
      <c r="C34" s="21" t="s">
        <v>83</v>
      </c>
      <c r="D34" s="43" t="s">
        <v>84</v>
      </c>
      <c r="E34" s="47"/>
      <c r="F34" s="31"/>
    </row>
    <row r="35" spans="2:16" ht="18.75" x14ac:dyDescent="0.25">
      <c r="B35" s="317" t="s">
        <v>85</v>
      </c>
      <c r="C35" s="318"/>
      <c r="D35" s="318"/>
      <c r="E35" s="318"/>
      <c r="F35" s="324"/>
      <c r="G35" s="8"/>
      <c r="H35" s="8"/>
      <c r="I35" s="8"/>
      <c r="J35" s="8"/>
      <c r="K35" s="8"/>
      <c r="L35" s="8"/>
      <c r="M35" s="8"/>
      <c r="N35" s="8"/>
      <c r="O35" s="8"/>
      <c r="P35" s="8"/>
    </row>
    <row r="36" spans="2:16" ht="31.5" x14ac:dyDescent="0.25">
      <c r="B36" s="332" t="s">
        <v>86</v>
      </c>
      <c r="C36" s="37" t="s">
        <v>34</v>
      </c>
      <c r="D36" s="38" t="s">
        <v>87</v>
      </c>
      <c r="E36" s="37" t="s">
        <v>34</v>
      </c>
      <c r="F36" s="19" t="s">
        <v>88</v>
      </c>
    </row>
    <row r="37" spans="2:16" ht="33.75" customHeight="1" x14ac:dyDescent="0.25">
      <c r="B37" s="333"/>
      <c r="C37" s="48"/>
      <c r="D37" s="86"/>
      <c r="E37" s="23" t="s">
        <v>34</v>
      </c>
      <c r="F37" s="20" t="s">
        <v>89</v>
      </c>
    </row>
    <row r="38" spans="2:16" x14ac:dyDescent="0.25">
      <c r="B38" s="334" t="s">
        <v>11</v>
      </c>
      <c r="C38" s="37" t="s">
        <v>34</v>
      </c>
      <c r="D38" s="45" t="s">
        <v>90</v>
      </c>
      <c r="E38" s="37" t="s">
        <v>34</v>
      </c>
      <c r="F38" s="9" t="s">
        <v>91</v>
      </c>
    </row>
    <row r="39" spans="2:16" ht="31.5" x14ac:dyDescent="0.25">
      <c r="B39" s="335"/>
      <c r="C39" s="13"/>
      <c r="D39" s="99"/>
      <c r="E39" s="23" t="s">
        <v>34</v>
      </c>
      <c r="F39" s="10" t="s">
        <v>92</v>
      </c>
    </row>
    <row r="40" spans="2:16" x14ac:dyDescent="0.25">
      <c r="B40" s="138"/>
      <c r="C40" s="13"/>
      <c r="D40" s="99"/>
      <c r="E40" s="14" t="s">
        <v>34</v>
      </c>
      <c r="F40" s="11" t="s">
        <v>93</v>
      </c>
    </row>
    <row r="41" spans="2:16" ht="31.5" x14ac:dyDescent="0.25">
      <c r="B41" s="137" t="s">
        <v>13</v>
      </c>
      <c r="C41" s="37" t="s">
        <v>34</v>
      </c>
      <c r="D41" s="38" t="s">
        <v>94</v>
      </c>
      <c r="E41" s="23" t="s">
        <v>34</v>
      </c>
      <c r="F41" s="10" t="s">
        <v>95</v>
      </c>
    </row>
    <row r="42" spans="2:16" x14ac:dyDescent="0.25">
      <c r="B42" s="138"/>
      <c r="C42" s="48"/>
      <c r="D42" s="52"/>
      <c r="E42" s="14" t="s">
        <v>34</v>
      </c>
      <c r="F42" s="11" t="s">
        <v>96</v>
      </c>
    </row>
    <row r="43" spans="2:16" ht="15.75" customHeight="1" x14ac:dyDescent="0.25">
      <c r="B43" s="334" t="s">
        <v>97</v>
      </c>
      <c r="C43" s="13" t="s">
        <v>34</v>
      </c>
      <c r="D43" s="40" t="s">
        <v>98</v>
      </c>
      <c r="E43" s="13" t="s">
        <v>34</v>
      </c>
      <c r="F43" s="89" t="s">
        <v>99</v>
      </c>
    </row>
    <row r="44" spans="2:16" ht="31.5" x14ac:dyDescent="0.25">
      <c r="B44" s="335"/>
      <c r="C44" s="23" t="s">
        <v>34</v>
      </c>
      <c r="D44" s="83" t="s">
        <v>100</v>
      </c>
      <c r="E44" s="23" t="s">
        <v>34</v>
      </c>
      <c r="F44" s="10" t="s">
        <v>101</v>
      </c>
    </row>
    <row r="45" spans="2:16" ht="34.5" customHeight="1" x14ac:dyDescent="0.25">
      <c r="B45" s="22" t="s">
        <v>102</v>
      </c>
      <c r="C45" s="35" t="s">
        <v>34</v>
      </c>
      <c r="D45" s="82" t="s">
        <v>103</v>
      </c>
      <c r="E45" s="35" t="s">
        <v>34</v>
      </c>
      <c r="F45" s="81" t="s">
        <v>104</v>
      </c>
    </row>
    <row r="46" spans="2:16" ht="31.5" x14ac:dyDescent="0.25">
      <c r="B46" s="51" t="s">
        <v>18</v>
      </c>
      <c r="C46" s="37" t="s">
        <v>34</v>
      </c>
      <c r="D46" s="45" t="s">
        <v>105</v>
      </c>
      <c r="E46" s="113"/>
      <c r="F46" s="114"/>
    </row>
    <row r="47" spans="2:16" x14ac:dyDescent="0.25">
      <c r="B47" s="115" t="s">
        <v>20</v>
      </c>
      <c r="C47" s="12" t="s">
        <v>34</v>
      </c>
      <c r="D47" s="45" t="s">
        <v>106</v>
      </c>
      <c r="E47" s="37" t="s">
        <v>34</v>
      </c>
      <c r="F47" s="9" t="s">
        <v>107</v>
      </c>
    </row>
    <row r="48" spans="2:16" x14ac:dyDescent="0.25">
      <c r="B48" s="328" t="s">
        <v>108</v>
      </c>
      <c r="C48" s="37" t="s">
        <v>34</v>
      </c>
      <c r="D48" s="45" t="s">
        <v>109</v>
      </c>
      <c r="E48" s="37" t="s">
        <v>34</v>
      </c>
      <c r="F48" s="9" t="s">
        <v>110</v>
      </c>
    </row>
    <row r="49" spans="2:16" x14ac:dyDescent="0.25">
      <c r="B49" s="329"/>
      <c r="C49" s="48" t="s">
        <v>34</v>
      </c>
      <c r="D49" s="112" t="s">
        <v>111</v>
      </c>
      <c r="E49" s="48" t="s">
        <v>34</v>
      </c>
      <c r="F49" s="117" t="s">
        <v>112</v>
      </c>
    </row>
    <row r="50" spans="2:16" ht="31.5" x14ac:dyDescent="0.25">
      <c r="B50" s="22" t="s">
        <v>22</v>
      </c>
      <c r="C50" s="23" t="s">
        <v>34</v>
      </c>
      <c r="D50" s="40" t="s">
        <v>113</v>
      </c>
      <c r="E50" s="47"/>
      <c r="F50" s="31"/>
    </row>
    <row r="51" spans="2:16" ht="243" customHeight="1" x14ac:dyDescent="0.25">
      <c r="B51" s="51" t="s">
        <v>23</v>
      </c>
      <c r="C51" s="37" t="s">
        <v>34</v>
      </c>
      <c r="D51" s="45" t="s">
        <v>114</v>
      </c>
      <c r="E51" s="46"/>
      <c r="F51" s="29"/>
      <c r="G51" s="103"/>
    </row>
    <row r="52" spans="2:16" ht="15.75" customHeight="1" x14ac:dyDescent="0.25">
      <c r="B52" s="137" t="s">
        <v>24</v>
      </c>
      <c r="C52" s="12" t="s">
        <v>34</v>
      </c>
      <c r="D52" s="41" t="s">
        <v>115</v>
      </c>
      <c r="E52" s="15" t="s">
        <v>34</v>
      </c>
      <c r="F52" s="49" t="s">
        <v>116</v>
      </c>
      <c r="G52" s="103"/>
    </row>
    <row r="53" spans="2:16" ht="18.75" x14ac:dyDescent="0.25">
      <c r="B53" s="325" t="s">
        <v>117</v>
      </c>
      <c r="C53" s="326"/>
      <c r="D53" s="326"/>
      <c r="E53" s="326"/>
      <c r="F53" s="327"/>
      <c r="G53" s="8"/>
      <c r="H53" s="8"/>
      <c r="I53" s="8"/>
      <c r="J53" s="8"/>
      <c r="K53" s="8"/>
      <c r="L53" s="8"/>
      <c r="M53" s="8"/>
      <c r="N53" s="8"/>
      <c r="O53" s="8"/>
      <c r="P53" s="8"/>
    </row>
    <row r="54" spans="2:16" ht="31.5" x14ac:dyDescent="0.25">
      <c r="B54" s="94" t="s">
        <v>118</v>
      </c>
      <c r="C54" s="37" t="s">
        <v>34</v>
      </c>
      <c r="D54" s="45" t="s">
        <v>119</v>
      </c>
      <c r="E54" s="35" t="s">
        <v>34</v>
      </c>
      <c r="F54" s="93" t="s">
        <v>120</v>
      </c>
    </row>
    <row r="55" spans="2:16" ht="31.5" x14ac:dyDescent="0.25">
      <c r="B55" s="332" t="s">
        <v>26</v>
      </c>
      <c r="C55" s="37" t="s">
        <v>34</v>
      </c>
      <c r="D55" s="24" t="s">
        <v>121</v>
      </c>
      <c r="E55" s="53" t="s">
        <v>34</v>
      </c>
      <c r="F55" s="38" t="s">
        <v>122</v>
      </c>
    </row>
    <row r="56" spans="2:16" ht="15.75" customHeight="1" x14ac:dyDescent="0.25">
      <c r="B56" s="333"/>
      <c r="C56" s="23" t="s">
        <v>34</v>
      </c>
      <c r="D56" s="336" t="s">
        <v>123</v>
      </c>
      <c r="E56" s="118" t="s">
        <v>34</v>
      </c>
      <c r="F56" s="1" t="s">
        <v>124</v>
      </c>
    </row>
    <row r="57" spans="2:16" ht="33" customHeight="1" x14ac:dyDescent="0.25">
      <c r="B57" s="140"/>
      <c r="C57" s="48"/>
      <c r="D57" s="337"/>
      <c r="E57" s="118" t="s">
        <v>34</v>
      </c>
      <c r="F57" s="116" t="s">
        <v>125</v>
      </c>
    </row>
    <row r="58" spans="2:16" ht="15.75" customHeight="1" x14ac:dyDescent="0.25">
      <c r="B58" s="330" t="s">
        <v>126</v>
      </c>
      <c r="C58" s="13" t="s">
        <v>34</v>
      </c>
      <c r="D58" s="341" t="s">
        <v>127</v>
      </c>
      <c r="E58" s="37" t="s">
        <v>34</v>
      </c>
      <c r="F58" s="9" t="s">
        <v>128</v>
      </c>
    </row>
    <row r="59" spans="2:16" x14ac:dyDescent="0.25">
      <c r="B59" s="331"/>
      <c r="D59" s="341"/>
      <c r="E59" s="13" t="s">
        <v>34</v>
      </c>
      <c r="F59" s="10" t="s">
        <v>129</v>
      </c>
    </row>
    <row r="60" spans="2:16" x14ac:dyDescent="0.25">
      <c r="B60" s="340"/>
      <c r="E60" s="47"/>
      <c r="F60" s="31"/>
    </row>
    <row r="61" spans="2:16" ht="31.5" x14ac:dyDescent="0.25">
      <c r="B61" s="139" t="s">
        <v>130</v>
      </c>
      <c r="C61" s="37" t="s">
        <v>34</v>
      </c>
      <c r="D61" s="45" t="s">
        <v>131</v>
      </c>
      <c r="E61" s="37" t="s">
        <v>34</v>
      </c>
      <c r="F61" s="38" t="s">
        <v>129</v>
      </c>
    </row>
    <row r="62" spans="2:16" ht="31.5" x14ac:dyDescent="0.25">
      <c r="B62" s="139" t="s">
        <v>132</v>
      </c>
      <c r="C62" s="35" t="s">
        <v>34</v>
      </c>
      <c r="D62" s="85" t="s">
        <v>133</v>
      </c>
      <c r="E62" s="15" t="s">
        <v>34</v>
      </c>
      <c r="F62" s="49" t="s">
        <v>129</v>
      </c>
    </row>
    <row r="63" spans="2:16" ht="18.75" x14ac:dyDescent="0.25">
      <c r="B63" s="317" t="s">
        <v>3</v>
      </c>
      <c r="C63" s="318"/>
      <c r="D63" s="318"/>
      <c r="E63" s="318"/>
      <c r="F63" s="324"/>
      <c r="G63" s="8"/>
      <c r="H63" s="8"/>
      <c r="I63" s="8"/>
      <c r="J63" s="8"/>
      <c r="K63" s="8"/>
      <c r="L63" s="8"/>
      <c r="M63" s="8"/>
      <c r="N63" s="8"/>
      <c r="O63" s="8"/>
      <c r="P63" s="8"/>
    </row>
    <row r="64" spans="2:16" ht="31.5" x14ac:dyDescent="0.25">
      <c r="B64" s="333" t="s">
        <v>134</v>
      </c>
      <c r="C64" s="23" t="s">
        <v>34</v>
      </c>
      <c r="D64" s="43" t="s">
        <v>135</v>
      </c>
      <c r="E64" s="23" t="s">
        <v>34</v>
      </c>
      <c r="F64" s="97" t="s">
        <v>136</v>
      </c>
      <c r="H64" s="95"/>
    </row>
    <row r="65" spans="2:16" ht="63" x14ac:dyDescent="0.25">
      <c r="B65" s="333"/>
      <c r="C65" s="23" t="s">
        <v>34</v>
      </c>
      <c r="D65" s="43" t="s">
        <v>137</v>
      </c>
      <c r="E65" s="23" t="s">
        <v>34</v>
      </c>
      <c r="F65" s="97" t="s">
        <v>138</v>
      </c>
      <c r="H65" s="96"/>
    </row>
    <row r="66" spans="2:16" ht="31.5" x14ac:dyDescent="0.25">
      <c r="B66" s="333"/>
      <c r="C66" s="23"/>
      <c r="E66" s="48" t="s">
        <v>34</v>
      </c>
      <c r="F66" s="18" t="s">
        <v>139</v>
      </c>
    </row>
    <row r="67" spans="2:16" ht="18.75" x14ac:dyDescent="0.25">
      <c r="B67" s="317" t="s">
        <v>140</v>
      </c>
      <c r="C67" s="318"/>
      <c r="D67" s="318"/>
      <c r="E67" s="318"/>
      <c r="F67" s="324"/>
      <c r="G67" s="8"/>
      <c r="H67" s="8"/>
      <c r="I67" s="8"/>
      <c r="J67" s="8"/>
      <c r="K67" s="8"/>
      <c r="L67" s="8"/>
      <c r="M67" s="8"/>
      <c r="N67" s="8"/>
      <c r="O67" s="8"/>
      <c r="P67" s="8"/>
    </row>
    <row r="68" spans="2:16" ht="47.25" x14ac:dyDescent="0.25">
      <c r="B68" s="140" t="s">
        <v>141</v>
      </c>
      <c r="C68" s="23" t="s">
        <v>34</v>
      </c>
      <c r="D68" s="110" t="s">
        <v>142</v>
      </c>
      <c r="E68" s="35" t="s">
        <v>34</v>
      </c>
      <c r="F68" s="50" t="s">
        <v>143</v>
      </c>
    </row>
    <row r="69" spans="2:16" ht="15.75" customHeight="1" x14ac:dyDescent="0.25">
      <c r="B69" s="325" t="s">
        <v>144</v>
      </c>
      <c r="C69" s="326"/>
      <c r="D69" s="326"/>
      <c r="E69" s="326"/>
      <c r="F69" s="327"/>
      <c r="G69" s="8"/>
      <c r="H69" s="8"/>
      <c r="I69" s="8"/>
      <c r="J69" s="8"/>
      <c r="K69" s="8"/>
      <c r="L69" s="8"/>
      <c r="M69" s="8"/>
      <c r="N69" s="8"/>
      <c r="O69" s="8"/>
      <c r="P69" s="8"/>
    </row>
    <row r="70" spans="2:16" ht="31.5" x14ac:dyDescent="0.25">
      <c r="B70" s="332" t="s">
        <v>5</v>
      </c>
      <c r="C70" s="37" t="s">
        <v>34</v>
      </c>
      <c r="D70" s="42" t="s">
        <v>145</v>
      </c>
      <c r="E70" s="37" t="s">
        <v>34</v>
      </c>
      <c r="F70" s="19" t="s">
        <v>146</v>
      </c>
    </row>
    <row r="71" spans="2:16" ht="31.5" x14ac:dyDescent="0.25">
      <c r="B71" s="333"/>
      <c r="C71" s="46"/>
      <c r="E71" s="48" t="s">
        <v>34</v>
      </c>
      <c r="F71" s="18" t="s">
        <v>147</v>
      </c>
    </row>
    <row r="72" spans="2:16" ht="18.75" x14ac:dyDescent="0.25">
      <c r="B72" s="317" t="s">
        <v>148</v>
      </c>
      <c r="C72" s="318"/>
      <c r="D72" s="318"/>
      <c r="E72" s="326"/>
      <c r="F72" s="327"/>
    </row>
    <row r="73" spans="2:16" ht="31.5" x14ac:dyDescent="0.25">
      <c r="B73" s="139" t="s">
        <v>6</v>
      </c>
      <c r="C73" s="37" t="s">
        <v>34</v>
      </c>
      <c r="D73" s="38" t="s">
        <v>149</v>
      </c>
      <c r="E73" s="37" t="s">
        <v>34</v>
      </c>
      <c r="F73" s="19" t="s">
        <v>150</v>
      </c>
    </row>
    <row r="74" spans="2:16" ht="47.25" x14ac:dyDescent="0.25">
      <c r="B74" s="142"/>
      <c r="C74" s="48"/>
      <c r="D74" s="54"/>
      <c r="E74" s="48" t="s">
        <v>34</v>
      </c>
      <c r="F74" s="18" t="s">
        <v>151</v>
      </c>
    </row>
    <row r="75" spans="2:16" ht="15.75" customHeight="1" x14ac:dyDescent="0.25">
      <c r="B75" s="317" t="s">
        <v>152</v>
      </c>
      <c r="C75" s="318"/>
      <c r="D75" s="318"/>
      <c r="E75" s="319"/>
      <c r="F75" s="320"/>
    </row>
    <row r="76" spans="2:16" ht="31.5" customHeight="1" x14ac:dyDescent="0.25">
      <c r="B76" s="35" t="s">
        <v>34</v>
      </c>
      <c r="C76" s="338" t="s">
        <v>153</v>
      </c>
      <c r="D76" s="338"/>
      <c r="E76" s="338"/>
      <c r="F76" s="339"/>
    </row>
    <row r="77" spans="2:16" ht="33" customHeight="1" x14ac:dyDescent="0.25">
      <c r="B77" s="35" t="s">
        <v>34</v>
      </c>
      <c r="C77" s="338" t="s">
        <v>154</v>
      </c>
      <c r="D77" s="338"/>
      <c r="E77" s="338"/>
      <c r="F77" s="339"/>
    </row>
    <row r="78" spans="2:16" x14ac:dyDescent="0.25">
      <c r="B78" s="7"/>
      <c r="C78" s="7"/>
      <c r="D78" s="7"/>
    </row>
    <row r="79" spans="2:16" ht="18.75" x14ac:dyDescent="0.3">
      <c r="B79" s="321" t="s">
        <v>155</v>
      </c>
      <c r="C79" s="322"/>
      <c r="D79" s="323"/>
    </row>
    <row r="80" spans="2:16" x14ac:dyDescent="0.25">
      <c r="B80" s="32" t="s">
        <v>156</v>
      </c>
      <c r="C80" s="28"/>
      <c r="D80" s="9" t="s">
        <v>157</v>
      </c>
    </row>
    <row r="81" spans="2:16" ht="15.75" customHeight="1" x14ac:dyDescent="0.25">
      <c r="B81" s="33" t="s">
        <v>158</v>
      </c>
      <c r="C81" s="27"/>
      <c r="D81" s="20" t="s">
        <v>159</v>
      </c>
    </row>
    <row r="82" spans="2:16" x14ac:dyDescent="0.25">
      <c r="B82" s="33" t="s">
        <v>160</v>
      </c>
      <c r="C82" s="7"/>
      <c r="D82" s="25" t="s">
        <v>161</v>
      </c>
    </row>
    <row r="83" spans="2:16" x14ac:dyDescent="0.25">
      <c r="B83" s="33" t="s">
        <v>162</v>
      </c>
      <c r="C83" s="8"/>
      <c r="D83" s="25" t="s">
        <v>163</v>
      </c>
      <c r="E83" s="8"/>
      <c r="G83" s="8"/>
      <c r="H83" s="8"/>
      <c r="I83" s="8"/>
      <c r="J83" s="8"/>
      <c r="K83" s="8"/>
      <c r="L83" s="8"/>
      <c r="M83" s="8"/>
      <c r="N83" s="8"/>
      <c r="O83" s="8"/>
      <c r="P83" s="8"/>
    </row>
    <row r="84" spans="2:16" x14ac:dyDescent="0.25">
      <c r="B84" s="33" t="s">
        <v>164</v>
      </c>
      <c r="C84" s="7"/>
      <c r="D84" s="25" t="s">
        <v>165</v>
      </c>
    </row>
    <row r="85" spans="2:16" x14ac:dyDescent="0.25">
      <c r="B85" s="33" t="s">
        <v>166</v>
      </c>
      <c r="C85" s="7"/>
      <c r="D85" s="25" t="s">
        <v>167</v>
      </c>
    </row>
    <row r="86" spans="2:16" ht="15.75" customHeight="1" x14ac:dyDescent="0.25">
      <c r="B86" s="33" t="s">
        <v>168</v>
      </c>
      <c r="C86" s="8"/>
      <c r="D86" s="25" t="s">
        <v>169</v>
      </c>
      <c r="E86" s="8"/>
      <c r="F86" s="8"/>
      <c r="G86" s="8"/>
      <c r="H86" s="8"/>
      <c r="I86" s="8"/>
      <c r="J86" s="8"/>
      <c r="K86" s="8"/>
      <c r="L86" s="8"/>
      <c r="M86" s="8"/>
      <c r="N86" s="8"/>
      <c r="O86" s="8"/>
      <c r="P86" s="8"/>
    </row>
    <row r="87" spans="2:16" ht="18.75" x14ac:dyDescent="0.3">
      <c r="B87" s="107" t="s">
        <v>170</v>
      </c>
      <c r="C87" s="108"/>
      <c r="D87" s="109" t="s">
        <v>171</v>
      </c>
    </row>
    <row r="88" spans="2:16" x14ac:dyDescent="0.25">
      <c r="B88" s="34" t="s">
        <v>31</v>
      </c>
      <c r="C88" s="30"/>
      <c r="D88" s="31" t="s">
        <v>172</v>
      </c>
    </row>
    <row r="91" spans="2:16" ht="18.75" x14ac:dyDescent="0.3">
      <c r="B91" s="321" t="s">
        <v>173</v>
      </c>
      <c r="C91" s="322"/>
      <c r="D91" s="323"/>
    </row>
    <row r="92" spans="2:16" ht="15.75" customHeight="1" x14ac:dyDescent="0.25">
      <c r="B92" s="314" t="s">
        <v>174</v>
      </c>
      <c r="C92" s="28"/>
      <c r="D92" s="57" t="s">
        <v>175</v>
      </c>
    </row>
    <row r="93" spans="2:16" ht="15.75" customHeight="1" x14ac:dyDescent="0.25">
      <c r="B93" s="315"/>
      <c r="C93" s="27"/>
      <c r="D93" s="58" t="s">
        <v>176</v>
      </c>
    </row>
    <row r="94" spans="2:16" ht="15.75" customHeight="1" x14ac:dyDescent="0.25">
      <c r="B94" s="315"/>
      <c r="C94" s="7"/>
      <c r="D94" s="58" t="s">
        <v>177</v>
      </c>
    </row>
    <row r="95" spans="2:16" ht="15.75" customHeight="1" x14ac:dyDescent="0.25">
      <c r="B95" s="315"/>
      <c r="C95" s="8"/>
      <c r="D95" s="58" t="s">
        <v>178</v>
      </c>
    </row>
    <row r="96" spans="2:16" ht="15.75" customHeight="1" x14ac:dyDescent="0.25">
      <c r="B96" s="315"/>
      <c r="C96" s="7"/>
      <c r="D96" s="58" t="s">
        <v>179</v>
      </c>
    </row>
    <row r="97" spans="2:11" ht="15.75" customHeight="1" x14ac:dyDescent="0.25">
      <c r="B97" s="315"/>
      <c r="C97" s="7"/>
      <c r="D97" s="58" t="s">
        <v>180</v>
      </c>
    </row>
    <row r="98" spans="2:11" ht="15.75" customHeight="1" x14ac:dyDescent="0.25">
      <c r="B98" s="316"/>
      <c r="C98" s="56"/>
      <c r="D98" s="59" t="s">
        <v>181</v>
      </c>
      <c r="F98" s="119"/>
      <c r="G98" s="119"/>
      <c r="H98" s="119"/>
      <c r="I98" s="119"/>
      <c r="J98" s="119"/>
      <c r="K98" s="119"/>
    </row>
    <row r="99" spans="2:11" ht="31.5" x14ac:dyDescent="0.3">
      <c r="B99" s="60" t="s">
        <v>182</v>
      </c>
      <c r="C99" s="61"/>
      <c r="D99" s="62" t="s">
        <v>183</v>
      </c>
      <c r="F99" s="120"/>
      <c r="G99" s="120"/>
      <c r="H99" s="120"/>
      <c r="I99" s="120"/>
    </row>
    <row r="100" spans="2:11" ht="15.75" customHeight="1" x14ac:dyDescent="0.3">
      <c r="B100" s="34"/>
      <c r="C100" s="63"/>
      <c r="D100" s="64" t="s">
        <v>184</v>
      </c>
      <c r="F100" s="313"/>
      <c r="G100" s="313"/>
      <c r="H100" s="120"/>
      <c r="I100" s="120"/>
      <c r="J100" s="120"/>
      <c r="K100" s="120"/>
    </row>
    <row r="101" spans="2:11" ht="31.5" x14ac:dyDescent="0.25">
      <c r="B101" s="314" t="s">
        <v>185</v>
      </c>
      <c r="C101" s="37" t="s">
        <v>34</v>
      </c>
      <c r="D101" s="62" t="s">
        <v>186</v>
      </c>
      <c r="F101" s="313"/>
      <c r="G101" s="313"/>
      <c r="H101" s="120"/>
      <c r="I101" s="120"/>
      <c r="J101" s="120"/>
      <c r="K101" s="120"/>
    </row>
    <row r="102" spans="2:11" ht="47.25" x14ac:dyDescent="0.25">
      <c r="B102" s="315"/>
      <c r="C102" s="23" t="s">
        <v>34</v>
      </c>
      <c r="D102" s="65" t="s">
        <v>187</v>
      </c>
      <c r="F102" s="313"/>
      <c r="G102" s="313"/>
      <c r="H102" s="120"/>
      <c r="I102" s="120"/>
      <c r="J102" s="120"/>
      <c r="K102" s="120"/>
    </row>
    <row r="103" spans="2:11" x14ac:dyDescent="0.25">
      <c r="B103" s="315"/>
      <c r="C103" s="23"/>
      <c r="D103" s="71"/>
      <c r="F103" s="313"/>
      <c r="G103" s="313"/>
      <c r="H103" s="120"/>
      <c r="I103" s="120"/>
      <c r="J103" s="120"/>
      <c r="K103" s="120"/>
    </row>
    <row r="104" spans="2:11" x14ac:dyDescent="0.25">
      <c r="B104" s="315"/>
      <c r="C104" s="69" t="s">
        <v>188</v>
      </c>
      <c r="D104" s="29"/>
      <c r="F104" s="313"/>
      <c r="G104" s="313"/>
      <c r="H104" s="120"/>
      <c r="I104" s="120"/>
      <c r="J104" s="120"/>
      <c r="K104" s="120"/>
    </row>
    <row r="105" spans="2:11" x14ac:dyDescent="0.25">
      <c r="B105" s="315"/>
      <c r="C105" s="46"/>
      <c r="D105" s="66" t="s">
        <v>189</v>
      </c>
      <c r="F105" s="313"/>
      <c r="G105" s="313"/>
      <c r="H105" s="120"/>
      <c r="I105" s="120"/>
      <c r="J105" s="120"/>
      <c r="K105" s="120"/>
    </row>
    <row r="106" spans="2:11" x14ac:dyDescent="0.25">
      <c r="B106" s="315"/>
      <c r="C106" s="67">
        <v>2010</v>
      </c>
      <c r="D106" s="68">
        <v>92.05</v>
      </c>
      <c r="F106" s="313"/>
      <c r="G106" s="313"/>
      <c r="H106" s="120"/>
      <c r="I106" s="120"/>
      <c r="J106" s="120"/>
      <c r="K106" s="120"/>
    </row>
    <row r="107" spans="2:11" x14ac:dyDescent="0.25">
      <c r="B107" s="315"/>
      <c r="C107" s="67">
        <v>2011</v>
      </c>
      <c r="D107" s="68">
        <v>94.32</v>
      </c>
      <c r="F107" s="313"/>
      <c r="G107" s="313"/>
      <c r="H107" s="120"/>
      <c r="I107" s="120"/>
      <c r="J107" s="120"/>
      <c r="K107" s="120"/>
    </row>
    <row r="108" spans="2:11" x14ac:dyDescent="0.25">
      <c r="B108" s="315"/>
      <c r="C108" s="67">
        <v>2012</v>
      </c>
      <c r="D108" s="68">
        <v>96.99</v>
      </c>
      <c r="F108" s="313"/>
      <c r="G108" s="313"/>
      <c r="H108" s="120"/>
      <c r="I108" s="120"/>
      <c r="J108" s="120"/>
      <c r="K108" s="120"/>
    </row>
    <row r="109" spans="2:11" x14ac:dyDescent="0.25">
      <c r="B109" s="315"/>
      <c r="C109" s="67">
        <v>2013</v>
      </c>
      <c r="D109" s="68">
        <v>99.47</v>
      </c>
      <c r="F109" s="313"/>
      <c r="G109" s="313"/>
      <c r="H109" s="120"/>
      <c r="I109" s="120"/>
      <c r="J109" s="120"/>
      <c r="K109" s="120"/>
    </row>
    <row r="110" spans="2:11" x14ac:dyDescent="0.25">
      <c r="B110" s="315"/>
      <c r="C110" s="67">
        <v>2014</v>
      </c>
      <c r="D110" s="68">
        <v>99.79</v>
      </c>
      <c r="F110" s="313"/>
      <c r="G110" s="313"/>
      <c r="H110" s="120"/>
      <c r="I110" s="120"/>
      <c r="J110" s="120"/>
      <c r="K110" s="120"/>
    </row>
    <row r="111" spans="2:11" x14ac:dyDescent="0.25">
      <c r="B111" s="315"/>
      <c r="C111" s="67">
        <v>2015</v>
      </c>
      <c r="D111" s="68">
        <v>100</v>
      </c>
      <c r="F111" s="313"/>
      <c r="G111" s="313"/>
      <c r="H111" s="120"/>
      <c r="I111" s="120"/>
      <c r="J111" s="120"/>
      <c r="K111" s="120"/>
    </row>
    <row r="112" spans="2:11" x14ac:dyDescent="0.25">
      <c r="B112" s="315"/>
      <c r="C112" s="67">
        <v>2016</v>
      </c>
      <c r="D112" s="68">
        <v>100.11</v>
      </c>
      <c r="F112" s="313"/>
      <c r="G112" s="313"/>
      <c r="H112" s="120"/>
      <c r="I112" s="120"/>
      <c r="J112" s="120"/>
      <c r="K112" s="120"/>
    </row>
    <row r="113" spans="1:11" x14ac:dyDescent="0.25">
      <c r="B113" s="315"/>
      <c r="C113" s="67">
        <v>2017</v>
      </c>
      <c r="D113" s="68">
        <v>101.4</v>
      </c>
      <c r="F113" s="313"/>
      <c r="G113" s="313"/>
      <c r="H113" s="120"/>
      <c r="I113" s="120"/>
      <c r="J113" s="120"/>
      <c r="K113" s="120"/>
    </row>
    <row r="114" spans="1:11" x14ac:dyDescent="0.25">
      <c r="B114" s="315"/>
      <c r="C114" s="121">
        <v>2018</v>
      </c>
      <c r="D114" s="68">
        <v>103.02</v>
      </c>
      <c r="E114" s="36">
        <v>2019</v>
      </c>
      <c r="F114" s="313"/>
      <c r="G114" s="313"/>
      <c r="H114" s="120"/>
    </row>
    <row r="115" spans="1:11" x14ac:dyDescent="0.25">
      <c r="B115" s="315"/>
      <c r="C115" s="311" t="s">
        <v>190</v>
      </c>
      <c r="D115" s="312"/>
      <c r="E115" s="36">
        <v>105</v>
      </c>
      <c r="F115" s="136"/>
      <c r="G115" s="136"/>
      <c r="H115" s="120"/>
    </row>
    <row r="116" spans="1:11" x14ac:dyDescent="0.25">
      <c r="B116" s="316"/>
      <c r="C116" s="70" t="s">
        <v>191</v>
      </c>
      <c r="D116" s="31"/>
      <c r="E116" s="36" t="s">
        <v>192</v>
      </c>
    </row>
    <row r="119" spans="1:11" ht="21" x14ac:dyDescent="0.35">
      <c r="A119" s="3" t="s">
        <v>193</v>
      </c>
    </row>
    <row r="121" spans="1:11" x14ac:dyDescent="0.25">
      <c r="B121" s="132" t="s">
        <v>194</v>
      </c>
      <c r="C121" s="133"/>
      <c r="D121" s="134" t="s">
        <v>195</v>
      </c>
      <c r="E121" s="133"/>
      <c r="F121" s="135"/>
    </row>
    <row r="122" spans="1:11" x14ac:dyDescent="0.25">
      <c r="B122" s="130">
        <v>43404</v>
      </c>
      <c r="D122" s="1" t="s">
        <v>196</v>
      </c>
      <c r="F122" s="29"/>
    </row>
    <row r="123" spans="1:11" x14ac:dyDescent="0.25">
      <c r="B123" s="131">
        <v>43586</v>
      </c>
      <c r="C123" s="129"/>
      <c r="D123" s="129" t="s">
        <v>197</v>
      </c>
      <c r="E123" s="129"/>
      <c r="F123" s="114"/>
    </row>
    <row r="124" spans="1:11" x14ac:dyDescent="0.25">
      <c r="B124" s="46"/>
      <c r="D124" s="1" t="s">
        <v>198</v>
      </c>
      <c r="F124" s="29"/>
    </row>
    <row r="125" spans="1:11" x14ac:dyDescent="0.25">
      <c r="B125" s="46"/>
      <c r="D125" s="1" t="s">
        <v>199</v>
      </c>
      <c r="F125" s="29"/>
    </row>
    <row r="126" spans="1:11" x14ac:dyDescent="0.25">
      <c r="B126" s="47"/>
      <c r="C126" s="30"/>
      <c r="D126" s="30" t="s">
        <v>200</v>
      </c>
      <c r="E126" s="30"/>
      <c r="F126" s="31"/>
    </row>
    <row r="127" spans="1:11" x14ac:dyDescent="0.25">
      <c r="B127" s="146">
        <v>43594</v>
      </c>
      <c r="C127" s="133"/>
      <c r="D127" s="133" t="s">
        <v>201</v>
      </c>
      <c r="E127" s="133"/>
      <c r="F127" s="135"/>
    </row>
    <row r="138" ht="18" customHeight="1" x14ac:dyDescent="0.25"/>
    <row r="139" ht="18" customHeight="1" x14ac:dyDescent="0.25"/>
    <row r="140" ht="18" customHeight="1" x14ac:dyDescent="0.25"/>
  </sheetData>
  <mergeCells count="43">
    <mergeCell ref="B48:B49"/>
    <mergeCell ref="D56:D57"/>
    <mergeCell ref="C76:F76"/>
    <mergeCell ref="C77:F77"/>
    <mergeCell ref="B70:B71"/>
    <mergeCell ref="B64:B66"/>
    <mergeCell ref="B55:B56"/>
    <mergeCell ref="B58:B60"/>
    <mergeCell ref="B69:F69"/>
    <mergeCell ref="B72:F72"/>
    <mergeCell ref="D58:D59"/>
    <mergeCell ref="B92:B98"/>
    <mergeCell ref="B101:B116"/>
    <mergeCell ref="B75:F75"/>
    <mergeCell ref="B91:D91"/>
    <mergeCell ref="E17:F17"/>
    <mergeCell ref="B35:F35"/>
    <mergeCell ref="B53:F53"/>
    <mergeCell ref="B63:F63"/>
    <mergeCell ref="B67:F67"/>
    <mergeCell ref="B18:B19"/>
    <mergeCell ref="C17:D17"/>
    <mergeCell ref="B23:B34"/>
    <mergeCell ref="B36:B37"/>
    <mergeCell ref="B38:B39"/>
    <mergeCell ref="B79:D79"/>
    <mergeCell ref="B43:B44"/>
    <mergeCell ref="F100:G100"/>
    <mergeCell ref="F101:G101"/>
    <mergeCell ref="F102:G102"/>
    <mergeCell ref="F103:G103"/>
    <mergeCell ref="F104:G104"/>
    <mergeCell ref="F105:G105"/>
    <mergeCell ref="F106:G106"/>
    <mergeCell ref="F107:G107"/>
    <mergeCell ref="F108:G108"/>
    <mergeCell ref="F109:G109"/>
    <mergeCell ref="C115:D115"/>
    <mergeCell ref="F110:G110"/>
    <mergeCell ref="F111:G111"/>
    <mergeCell ref="F112:G112"/>
    <mergeCell ref="F113:G113"/>
    <mergeCell ref="F114:G114"/>
  </mergeCells>
  <hyperlinks>
    <hyperlink ref="D100" r:id="rId1" xr:uid="{0E8AA294-E174-41CC-9FC6-3843EBAB9DBB}"/>
  </hyperlinks>
  <pageMargins left="0.7" right="0.7" top="0.75" bottom="0.75" header="0.3" footer="0.3"/>
  <pageSetup paperSize="9" scale="47" orientation="portrait" r:id="rId2"/>
  <colBreaks count="1" manualBreakCount="1">
    <brk id="4" max="92"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FD83A-B980-4BDB-9FB9-77669C899048}">
  <dimension ref="A1:C10"/>
  <sheetViews>
    <sheetView workbookViewId="0"/>
  </sheetViews>
  <sheetFormatPr defaultRowHeight="15.75" x14ac:dyDescent="0.25"/>
  <cols>
    <col min="3" max="3" width="33.5" customWidth="1"/>
  </cols>
  <sheetData>
    <row r="1" spans="1:3" ht="21" x14ac:dyDescent="0.35">
      <c r="A1" s="3" t="s">
        <v>604</v>
      </c>
    </row>
    <row r="3" spans="1:3" x14ac:dyDescent="0.25">
      <c r="B3" s="126" t="s">
        <v>605</v>
      </c>
      <c r="C3" s="127" t="s">
        <v>606</v>
      </c>
    </row>
    <row r="4" spans="1:3" x14ac:dyDescent="0.25">
      <c r="B4" s="126" t="s">
        <v>607</v>
      </c>
      <c r="C4" s="128">
        <v>43409</v>
      </c>
    </row>
    <row r="5" spans="1:3" x14ac:dyDescent="0.25">
      <c r="B5" s="126" t="s">
        <v>608</v>
      </c>
      <c r="C5" t="s">
        <v>609</v>
      </c>
    </row>
    <row r="6" spans="1:3" x14ac:dyDescent="0.25">
      <c r="C6" t="s">
        <v>610</v>
      </c>
    </row>
    <row r="7" spans="1:3" x14ac:dyDescent="0.25">
      <c r="C7" t="s">
        <v>611</v>
      </c>
    </row>
    <row r="8" spans="1:3" x14ac:dyDescent="0.25">
      <c r="C8" t="s">
        <v>612</v>
      </c>
    </row>
    <row r="9" spans="1:3" x14ac:dyDescent="0.25">
      <c r="C9" t="s">
        <v>613</v>
      </c>
    </row>
    <row r="10" spans="1:3" x14ac:dyDescent="0.25">
      <c r="C10" t="s">
        <v>614</v>
      </c>
    </row>
  </sheetData>
  <sheetProtection algorithmName="SHA-512" hashValue="PE5jJWiGEwJCkzK1Clnm4kOUGZTtdSGcbxHRjqbrGqppz9HHEsV5lqODpy7X6t2sNV4xYthc1CD6YirH09J1PA==" saltValue="61NILTqGSUdTfxT9UcWQ/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6B474-6A26-4A5B-87B5-82D07D7BBC5A}">
  <sheetPr>
    <tabColor theme="7" tint="0.59999389629810485"/>
    <pageSetUpPr fitToPage="1"/>
  </sheetPr>
  <dimension ref="A1:BA121"/>
  <sheetViews>
    <sheetView topLeftCell="A20" zoomScale="120" zoomScaleNormal="120" workbookViewId="0">
      <selection activeCell="D9" sqref="F9"/>
    </sheetView>
  </sheetViews>
  <sheetFormatPr defaultColWidth="11" defaultRowHeight="15" x14ac:dyDescent="0.2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4" hidden="1" customWidth="1"/>
    <col min="53" max="53" width="182" style="104" hidden="1" customWidth="1"/>
    <col min="54" max="16384" width="11" style="72"/>
  </cols>
  <sheetData>
    <row r="1" spans="1:52" ht="21" x14ac:dyDescent="0.35">
      <c r="A1" s="3" t="s">
        <v>202</v>
      </c>
      <c r="B1" s="258"/>
      <c r="C1" s="258"/>
      <c r="D1" s="98"/>
      <c r="E1" s="258"/>
      <c r="F1" s="258"/>
      <c r="G1" s="258"/>
      <c r="H1" s="258"/>
      <c r="I1" s="258"/>
      <c r="J1" s="258"/>
      <c r="K1" s="258"/>
      <c r="L1" s="258"/>
      <c r="M1" s="258"/>
      <c r="N1" s="258"/>
      <c r="O1" s="258"/>
      <c r="P1" s="258"/>
      <c r="Q1" s="258"/>
      <c r="R1" s="258"/>
      <c r="S1" s="258"/>
      <c r="T1" s="258"/>
      <c r="U1" s="258"/>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row>
    <row r="2" spans="1:52" x14ac:dyDescent="0.25">
      <c r="A2" s="98" t="s">
        <v>203</v>
      </c>
      <c r="B2" s="258"/>
      <c r="C2" s="258"/>
      <c r="D2" s="98"/>
      <c r="E2" s="258"/>
      <c r="F2" s="258"/>
      <c r="G2" s="258"/>
      <c r="H2" s="258"/>
      <c r="I2" s="258"/>
      <c r="J2" s="258"/>
      <c r="K2" s="258"/>
      <c r="L2" s="258"/>
      <c r="M2" s="258"/>
      <c r="N2" s="258"/>
      <c r="O2" s="258"/>
      <c r="P2" s="258"/>
      <c r="Q2" s="258"/>
      <c r="R2" s="258"/>
      <c r="S2" s="258"/>
      <c r="T2" s="258"/>
      <c r="U2" s="258"/>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row>
    <row r="3" spans="1:52" x14ac:dyDescent="0.25">
      <c r="A3" s="258"/>
      <c r="B3" s="258"/>
      <c r="C3" s="258"/>
      <c r="D3" s="258"/>
      <c r="E3" s="258"/>
      <c r="F3" s="258"/>
      <c r="G3" s="258"/>
      <c r="H3" s="258"/>
      <c r="I3" s="258"/>
      <c r="J3" s="258"/>
      <c r="K3" s="258"/>
      <c r="L3" s="258"/>
      <c r="M3" s="258"/>
      <c r="N3" s="258"/>
      <c r="O3" s="258"/>
      <c r="P3" s="258"/>
      <c r="Q3" s="258"/>
      <c r="R3" s="258"/>
      <c r="S3" s="258"/>
      <c r="T3" s="258"/>
      <c r="U3" s="258"/>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row>
    <row r="4" spans="1:52" ht="21" customHeight="1" x14ac:dyDescent="0.25">
      <c r="A4" s="258"/>
      <c r="B4" s="350" t="s">
        <v>204</v>
      </c>
      <c r="C4" s="351"/>
      <c r="D4" s="351"/>
      <c r="E4" s="351"/>
      <c r="F4" s="351"/>
      <c r="G4" s="351"/>
      <c r="H4" s="351"/>
      <c r="I4" s="351"/>
      <c r="J4" s="351"/>
      <c r="K4" s="352"/>
      <c r="L4" s="74"/>
      <c r="M4" s="74"/>
      <c r="N4" s="74"/>
      <c r="O4" s="74"/>
      <c r="P4" s="258"/>
      <c r="Q4" s="258"/>
      <c r="R4" s="258"/>
      <c r="S4" s="258"/>
      <c r="T4" s="258"/>
      <c r="U4" s="258"/>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row>
    <row r="5" spans="1:52" ht="15.75" customHeight="1" x14ac:dyDescent="0.25">
      <c r="A5" s="258"/>
      <c r="B5" s="353" t="s">
        <v>205</v>
      </c>
      <c r="C5" s="353"/>
      <c r="D5" s="354" t="s">
        <v>8</v>
      </c>
      <c r="E5" s="355"/>
      <c r="F5" s="355"/>
      <c r="G5" s="355"/>
      <c r="H5" s="355"/>
      <c r="I5" s="355"/>
      <c r="J5" s="355"/>
      <c r="K5" s="356"/>
      <c r="L5" s="243"/>
      <c r="M5" s="74"/>
      <c r="N5" s="74"/>
      <c r="O5" s="74"/>
      <c r="P5" s="258"/>
      <c r="Q5" s="258"/>
      <c r="R5" s="258"/>
      <c r="S5" s="258"/>
      <c r="T5" s="258"/>
      <c r="U5" s="258"/>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row>
    <row r="6" spans="1:52" ht="15.75" customHeight="1" x14ac:dyDescent="0.25">
      <c r="A6" s="258"/>
      <c r="B6" s="353" t="s">
        <v>206</v>
      </c>
      <c r="C6" s="353"/>
      <c r="D6" s="357">
        <v>44427</v>
      </c>
      <c r="E6" s="358"/>
      <c r="F6" s="358"/>
      <c r="G6" s="358"/>
      <c r="H6" s="358"/>
      <c r="I6" s="358"/>
      <c r="J6" s="358"/>
      <c r="K6" s="359"/>
      <c r="L6" s="243"/>
      <c r="M6" s="74"/>
      <c r="N6" s="74"/>
      <c r="O6" s="74"/>
      <c r="P6" s="258"/>
      <c r="Q6" s="258"/>
      <c r="R6" s="258"/>
      <c r="S6" s="258"/>
      <c r="T6" s="258"/>
      <c r="U6" s="258"/>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row>
    <row r="7" spans="1:52" ht="15.75" customHeight="1" x14ac:dyDescent="0.25">
      <c r="A7" s="258"/>
      <c r="B7" s="360" t="s">
        <v>207</v>
      </c>
      <c r="C7" s="361"/>
      <c r="D7" s="354" t="s">
        <v>208</v>
      </c>
      <c r="E7" s="355"/>
      <c r="F7" s="355"/>
      <c r="G7" s="355"/>
      <c r="H7" s="355"/>
      <c r="I7" s="355"/>
      <c r="J7" s="355"/>
      <c r="K7" s="356"/>
      <c r="L7" s="243"/>
      <c r="M7" s="74"/>
      <c r="N7" s="74"/>
      <c r="O7" s="255" t="s">
        <v>209</v>
      </c>
      <c r="P7" s="256"/>
      <c r="Q7" s="256"/>
      <c r="R7" s="258"/>
      <c r="S7" s="258"/>
      <c r="T7" s="258"/>
      <c r="U7" s="258"/>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row>
    <row r="8" spans="1:52" x14ac:dyDescent="0.25">
      <c r="A8" s="258"/>
      <c r="B8" s="371" t="s">
        <v>51</v>
      </c>
      <c r="C8" s="372"/>
      <c r="D8" s="343" t="s">
        <v>210</v>
      </c>
      <c r="E8" s="344"/>
      <c r="F8" s="344"/>
      <c r="G8" s="344"/>
      <c r="H8" s="344"/>
      <c r="I8" s="344"/>
      <c r="J8" s="344"/>
      <c r="K8" s="345"/>
      <c r="L8" s="244"/>
      <c r="M8" s="74"/>
      <c r="N8" s="74"/>
      <c r="O8" s="342" t="s">
        <v>211</v>
      </c>
      <c r="P8" s="342"/>
      <c r="Q8" s="342"/>
      <c r="R8" s="258"/>
      <c r="S8" s="258"/>
      <c r="T8" s="258"/>
      <c r="U8" s="258"/>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row>
    <row r="9" spans="1:52" ht="15.75" customHeight="1" x14ac:dyDescent="0.25">
      <c r="A9" s="258"/>
      <c r="B9" s="373"/>
      <c r="C9" s="374"/>
      <c r="D9" s="343" t="s">
        <v>212</v>
      </c>
      <c r="E9" s="344"/>
      <c r="F9" s="344"/>
      <c r="G9" s="344"/>
      <c r="H9" s="344"/>
      <c r="I9" s="344"/>
      <c r="J9" s="344"/>
      <c r="K9" s="345"/>
      <c r="L9" s="244"/>
      <c r="M9" s="244"/>
      <c r="N9" s="244"/>
      <c r="O9" s="342"/>
      <c r="P9" s="342"/>
      <c r="Q9" s="342"/>
      <c r="R9" s="258"/>
      <c r="S9" s="258"/>
      <c r="T9" s="258"/>
      <c r="U9" s="258"/>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row>
    <row r="10" spans="1:52" ht="15.75" customHeight="1" x14ac:dyDescent="0.25">
      <c r="A10" s="258"/>
      <c r="B10" s="346" t="s">
        <v>55</v>
      </c>
      <c r="C10" s="346"/>
      <c r="D10" s="347" t="s">
        <v>213</v>
      </c>
      <c r="E10" s="348"/>
      <c r="F10" s="348"/>
      <c r="G10" s="348"/>
      <c r="H10" s="348"/>
      <c r="I10" s="348"/>
      <c r="J10" s="348"/>
      <c r="K10" s="349"/>
      <c r="L10" s="73"/>
      <c r="M10" s="73"/>
      <c r="N10" s="73"/>
      <c r="O10" s="342"/>
      <c r="P10" s="342"/>
      <c r="Q10" s="342"/>
      <c r="R10" s="258"/>
      <c r="S10" s="258"/>
      <c r="T10" s="258"/>
      <c r="U10" s="258"/>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row>
    <row r="11" spans="1:52" ht="15.75" customHeight="1" x14ac:dyDescent="0.25">
      <c r="A11" s="258"/>
      <c r="B11" s="346" t="s">
        <v>57</v>
      </c>
      <c r="C11" s="346"/>
      <c r="D11" s="347" t="s">
        <v>212</v>
      </c>
      <c r="E11" s="348"/>
      <c r="F11" s="348"/>
      <c r="G11" s="348"/>
      <c r="H11" s="348"/>
      <c r="I11" s="348"/>
      <c r="J11" s="348"/>
      <c r="K11" s="349"/>
      <c r="L11" s="243"/>
      <c r="M11" s="243"/>
      <c r="N11" s="243"/>
      <c r="O11" s="257" t="s">
        <v>214</v>
      </c>
      <c r="P11" s="258"/>
      <c r="Q11" s="258"/>
      <c r="R11" s="258"/>
      <c r="S11" s="258"/>
      <c r="T11" s="258"/>
      <c r="U11" s="258"/>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row>
    <row r="12" spans="1:52" ht="179.45" customHeight="1" x14ac:dyDescent="0.25">
      <c r="A12" s="258"/>
      <c r="B12" s="362" t="s">
        <v>60</v>
      </c>
      <c r="C12" s="362"/>
      <c r="D12" s="363" t="s">
        <v>215</v>
      </c>
      <c r="E12" s="364"/>
      <c r="F12" s="364"/>
      <c r="G12" s="364"/>
      <c r="H12" s="364"/>
      <c r="I12" s="364"/>
      <c r="J12" s="364"/>
      <c r="K12" s="365"/>
      <c r="L12" s="244"/>
      <c r="M12" s="244"/>
      <c r="N12" s="244"/>
      <c r="O12" s="244" t="s">
        <v>9</v>
      </c>
      <c r="P12" s="258"/>
      <c r="Q12" s="258"/>
      <c r="R12" s="258"/>
      <c r="S12" s="258"/>
      <c r="T12" s="258"/>
      <c r="U12" s="258"/>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105" t="str">
        <f>D12</f>
        <v>Onshore wind power is a mature technology, deployed worldwide. Asia, Europe and the United States show the highest total capacity. Wind turbines have grown significantly over the past decades, resulting in increased yield and at the same time cost reductions. The larger the diameter of a wind turbine rotor, the larger the swept area, which increases quadratically with the length of a blade. This makes upscaling both technically and economically attractive. Usually, legal restrictions to tip height are in place, limiting the size of wind turbines. In order to benefit from further economies of scale, turbines are combined in wind parks. The turbine blades are driving a hub attached to an electric generator, located in the nacelle. The power is fed into the grid. Variability of the wind regime makes that the electricity supply capacity varies as well, from 0 MW in low wind or extremely stormy periods, up to maximum capacity at wind speeds within the design window. The yield of wind turbines strongly depends on the average annual wind conditions. Different wind classes require different turbine types. In this series of factsheets however, wind turbine characteristics do not vary in costs, but the main variable used is the yield, which depends on the regional wind speed. Six wind speed regions are defined for the Netherlands. The main information source for current onshore wind data is a meta study, performed in the Dutch subsidy scheme SDE++ (PBL 2021b). Future projections are based on combining projections from other reports with the SDE++ parameters.</v>
      </c>
    </row>
    <row r="13" spans="1:52" ht="15.75" customHeight="1" x14ac:dyDescent="0.25">
      <c r="A13" s="258"/>
      <c r="B13" s="366" t="s">
        <v>10</v>
      </c>
      <c r="C13" s="366"/>
      <c r="D13" s="367" t="s">
        <v>67</v>
      </c>
      <c r="E13" s="358"/>
      <c r="F13" s="358"/>
      <c r="G13" s="358"/>
      <c r="H13" s="358"/>
      <c r="I13" s="358"/>
      <c r="J13" s="358"/>
      <c r="K13" s="359"/>
      <c r="L13" s="243"/>
      <c r="M13" s="243"/>
      <c r="N13" s="243"/>
      <c r="O13" s="243"/>
      <c r="P13" s="258"/>
      <c r="Q13" s="258"/>
      <c r="R13" s="258"/>
      <c r="S13" s="258"/>
      <c r="T13" s="258"/>
      <c r="U13" s="258"/>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row>
    <row r="14" spans="1:52" ht="61.15" customHeight="1" x14ac:dyDescent="0.25">
      <c r="A14" s="258"/>
      <c r="B14" s="366"/>
      <c r="C14" s="366"/>
      <c r="D14" s="368" t="s">
        <v>216</v>
      </c>
      <c r="E14" s="369"/>
      <c r="F14" s="369"/>
      <c r="G14" s="369"/>
      <c r="H14" s="369"/>
      <c r="I14" s="369"/>
      <c r="J14" s="369"/>
      <c r="K14" s="370"/>
      <c r="L14" s="244"/>
      <c r="M14" s="244"/>
      <c r="N14" s="244"/>
      <c r="O14" s="244"/>
      <c r="P14" s="258"/>
      <c r="Q14" s="258"/>
      <c r="R14" s="258"/>
      <c r="S14" s="258"/>
      <c r="T14" s="258"/>
      <c r="U14" s="258"/>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105" t="str">
        <f>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5" spans="1:52" ht="21" customHeight="1" x14ac:dyDescent="0.25">
      <c r="A15" s="258"/>
      <c r="B15" s="350" t="s">
        <v>85</v>
      </c>
      <c r="C15" s="351"/>
      <c r="D15" s="351"/>
      <c r="E15" s="351"/>
      <c r="F15" s="351"/>
      <c r="G15" s="351"/>
      <c r="H15" s="351"/>
      <c r="I15" s="351"/>
      <c r="J15" s="351"/>
      <c r="K15" s="352"/>
      <c r="L15" s="74"/>
      <c r="M15" s="74"/>
      <c r="N15" s="74"/>
      <c r="O15" s="74"/>
      <c r="P15" s="258"/>
      <c r="Q15" s="258"/>
      <c r="R15" s="258"/>
      <c r="S15" s="258"/>
      <c r="T15" s="258"/>
      <c r="U15" s="258"/>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row>
    <row r="16" spans="1:52" ht="15" customHeight="1" x14ac:dyDescent="0.25">
      <c r="A16" s="258"/>
      <c r="B16" s="390" t="s">
        <v>86</v>
      </c>
      <c r="C16" s="390"/>
      <c r="D16" s="391" t="s">
        <v>217</v>
      </c>
      <c r="E16" s="392"/>
      <c r="F16" s="392"/>
      <c r="G16" s="392"/>
      <c r="H16" s="392"/>
      <c r="I16" s="392"/>
      <c r="J16" s="392"/>
      <c r="K16" s="393"/>
      <c r="L16" s="74"/>
      <c r="M16" s="74"/>
      <c r="N16" s="74"/>
      <c r="O16" s="74"/>
      <c r="P16" s="258"/>
      <c r="Q16" s="258"/>
      <c r="R16" s="258"/>
      <c r="S16" s="258"/>
      <c r="T16" s="258"/>
      <c r="U16" s="258"/>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row>
    <row r="17" spans="1:51" ht="15" customHeight="1" x14ac:dyDescent="0.25">
      <c r="A17" s="258"/>
      <c r="B17" s="390"/>
      <c r="C17" s="390"/>
      <c r="D17" s="394"/>
      <c r="E17" s="395"/>
      <c r="F17" s="395"/>
      <c r="G17" s="395"/>
      <c r="H17" s="395"/>
      <c r="I17" s="395"/>
      <c r="J17" s="395"/>
      <c r="K17" s="396"/>
      <c r="L17" s="74"/>
      <c r="M17" s="74"/>
      <c r="N17" s="74"/>
      <c r="O17" s="74"/>
      <c r="P17" s="258"/>
      <c r="Q17" s="258"/>
      <c r="R17" s="258"/>
      <c r="S17" s="258"/>
      <c r="T17" s="258"/>
      <c r="U17" s="258"/>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row>
    <row r="18" spans="1:51" x14ac:dyDescent="0.25">
      <c r="A18" s="258"/>
      <c r="B18" s="397"/>
      <c r="C18" s="397"/>
      <c r="D18" s="398" t="s">
        <v>218</v>
      </c>
      <c r="E18" s="398"/>
      <c r="F18" s="398"/>
      <c r="G18" s="277" t="s">
        <v>219</v>
      </c>
      <c r="H18" s="277" t="s">
        <v>220</v>
      </c>
      <c r="I18" s="277" t="s">
        <v>221</v>
      </c>
      <c r="J18" s="277" t="s">
        <v>222</v>
      </c>
      <c r="K18" s="277" t="s">
        <v>223</v>
      </c>
      <c r="L18" s="75"/>
      <c r="M18" s="75"/>
      <c r="N18" s="75"/>
      <c r="O18" s="75"/>
      <c r="P18" s="258"/>
      <c r="Q18" s="258"/>
      <c r="R18" s="258"/>
      <c r="S18" s="258"/>
      <c r="T18" s="258"/>
      <c r="U18" s="258"/>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row>
    <row r="19" spans="1:51" ht="15.75" customHeight="1" x14ac:dyDescent="0.25">
      <c r="A19" s="258"/>
      <c r="B19" s="390" t="s">
        <v>11</v>
      </c>
      <c r="C19" s="390"/>
      <c r="D19" s="399" t="str">
        <f>IF(D16="Please select","Select Functional Unit above",D16)</f>
        <v>MW</v>
      </c>
      <c r="E19" s="399"/>
      <c r="F19" s="399"/>
      <c r="G19" s="147" t="s">
        <v>224</v>
      </c>
      <c r="H19" s="91"/>
      <c r="I19" s="91"/>
      <c r="J19" s="91"/>
      <c r="K19" s="91"/>
      <c r="L19" s="76"/>
      <c r="M19" s="76"/>
      <c r="N19" s="76"/>
      <c r="O19" s="76"/>
      <c r="P19" s="258"/>
      <c r="Q19" s="258"/>
      <c r="R19" s="258"/>
      <c r="S19" s="258"/>
      <c r="T19" s="258"/>
      <c r="U19" s="258"/>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row>
    <row r="20" spans="1:51" ht="15.75" customHeight="1" x14ac:dyDescent="0.25">
      <c r="A20" s="258"/>
      <c r="B20" s="390"/>
      <c r="C20" s="390"/>
      <c r="D20" s="399"/>
      <c r="E20" s="399"/>
      <c r="F20" s="399"/>
      <c r="G20" s="101" t="s">
        <v>225</v>
      </c>
      <c r="H20" s="101" t="s">
        <v>226</v>
      </c>
      <c r="I20" s="101" t="s">
        <v>226</v>
      </c>
      <c r="J20" s="101" t="s">
        <v>226</v>
      </c>
      <c r="K20" s="101" t="s">
        <v>226</v>
      </c>
      <c r="L20" s="76"/>
      <c r="M20" s="76"/>
      <c r="N20" s="76"/>
      <c r="O20" s="76"/>
      <c r="P20" s="258"/>
      <c r="Q20" s="258"/>
      <c r="R20" s="258"/>
      <c r="S20" s="258"/>
      <c r="T20" s="258"/>
      <c r="U20" s="258"/>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row>
    <row r="21" spans="1:51" ht="15.75" customHeight="1" x14ac:dyDescent="0.25">
      <c r="A21" s="258"/>
      <c r="B21" s="397"/>
      <c r="C21" s="397"/>
      <c r="D21" s="409" t="s">
        <v>227</v>
      </c>
      <c r="E21" s="410"/>
      <c r="F21" s="276" t="s">
        <v>0</v>
      </c>
      <c r="G21" s="376" t="s">
        <v>228</v>
      </c>
      <c r="H21" s="376"/>
      <c r="I21" s="376"/>
      <c r="J21" s="376"/>
      <c r="K21" s="376"/>
      <c r="L21" s="375">
        <v>2030</v>
      </c>
      <c r="M21" s="375"/>
      <c r="N21" s="375"/>
      <c r="O21" s="375"/>
      <c r="P21" s="375"/>
      <c r="Q21" s="376">
        <v>2050</v>
      </c>
      <c r="R21" s="376"/>
      <c r="S21" s="376"/>
      <c r="T21" s="376"/>
      <c r="U21" s="376"/>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row>
    <row r="22" spans="1:51" ht="15.75" customHeight="1" x14ac:dyDescent="0.25">
      <c r="A22" s="258"/>
      <c r="B22" s="377" t="s">
        <v>13</v>
      </c>
      <c r="C22" s="378"/>
      <c r="D22" s="383" t="s">
        <v>229</v>
      </c>
      <c r="E22" s="384"/>
      <c r="F22" s="387" t="s">
        <v>158</v>
      </c>
      <c r="G22" s="277" t="s">
        <v>219</v>
      </c>
      <c r="H22" s="277" t="s">
        <v>220</v>
      </c>
      <c r="I22" s="277" t="s">
        <v>221</v>
      </c>
      <c r="J22" s="277" t="s">
        <v>222</v>
      </c>
      <c r="K22" s="277" t="s">
        <v>223</v>
      </c>
      <c r="L22" s="278" t="s">
        <v>219</v>
      </c>
      <c r="M22" s="278" t="s">
        <v>220</v>
      </c>
      <c r="N22" s="278" t="s">
        <v>221</v>
      </c>
      <c r="O22" s="278" t="s">
        <v>222</v>
      </c>
      <c r="P22" s="278" t="s">
        <v>223</v>
      </c>
      <c r="Q22" s="277" t="s">
        <v>219</v>
      </c>
      <c r="R22" s="277" t="s">
        <v>220</v>
      </c>
      <c r="S22" s="277" t="s">
        <v>221</v>
      </c>
      <c r="T22" s="277" t="s">
        <v>222</v>
      </c>
      <c r="U22" s="277" t="s">
        <v>223</v>
      </c>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row>
    <row r="23" spans="1:51" ht="15" customHeight="1" x14ac:dyDescent="0.25">
      <c r="A23" s="258"/>
      <c r="B23" s="379"/>
      <c r="C23" s="380"/>
      <c r="D23" s="385"/>
      <c r="E23" s="386"/>
      <c r="F23" s="388"/>
      <c r="G23" s="156">
        <v>4.1589999999999998</v>
      </c>
      <c r="H23" s="91"/>
      <c r="I23" s="91"/>
      <c r="J23" s="91"/>
      <c r="K23" s="91"/>
      <c r="L23" s="212">
        <v>11</v>
      </c>
      <c r="M23" s="100"/>
      <c r="N23" s="100"/>
      <c r="O23" s="100"/>
      <c r="P23" s="100"/>
      <c r="Q23" s="212">
        <v>15</v>
      </c>
      <c r="R23" s="213">
        <v>8</v>
      </c>
      <c r="S23" s="213">
        <v>16</v>
      </c>
      <c r="T23" s="148" t="s">
        <v>230</v>
      </c>
      <c r="U23" s="100" t="s">
        <v>231</v>
      </c>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row>
    <row r="24" spans="1:51" x14ac:dyDescent="0.25">
      <c r="A24" s="258"/>
      <c r="B24" s="381"/>
      <c r="C24" s="382"/>
      <c r="D24" s="385"/>
      <c r="E24" s="386"/>
      <c r="F24" s="389"/>
      <c r="G24" s="101" t="s">
        <v>232</v>
      </c>
      <c r="H24" s="101" t="s">
        <v>226</v>
      </c>
      <c r="I24" s="101" t="s">
        <v>226</v>
      </c>
      <c r="J24" s="101" t="s">
        <v>226</v>
      </c>
      <c r="K24" s="101" t="s">
        <v>226</v>
      </c>
      <c r="L24" s="101" t="s">
        <v>233</v>
      </c>
      <c r="M24" s="101" t="s">
        <v>226</v>
      </c>
      <c r="N24" s="101" t="s">
        <v>226</v>
      </c>
      <c r="O24" s="101" t="s">
        <v>226</v>
      </c>
      <c r="P24" s="101" t="s">
        <v>226</v>
      </c>
      <c r="Q24" s="101" t="s">
        <v>234</v>
      </c>
      <c r="R24" s="101" t="s">
        <v>235</v>
      </c>
      <c r="S24" s="101" t="s">
        <v>236</v>
      </c>
      <c r="T24" s="101" t="s">
        <v>237</v>
      </c>
      <c r="U24" s="101" t="s">
        <v>238</v>
      </c>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row>
    <row r="25" spans="1:51" ht="15.75" customHeight="1" x14ac:dyDescent="0.25">
      <c r="A25" s="258"/>
      <c r="B25" s="390" t="s">
        <v>15</v>
      </c>
      <c r="C25" s="390"/>
      <c r="D25" s="391" t="s">
        <v>239</v>
      </c>
      <c r="E25" s="393"/>
      <c r="F25" s="400" t="s">
        <v>16</v>
      </c>
      <c r="G25" s="90"/>
      <c r="H25" s="91"/>
      <c r="I25" s="91"/>
      <c r="J25" s="91"/>
      <c r="K25" s="91"/>
      <c r="L25" s="90"/>
      <c r="M25" s="100"/>
      <c r="N25" s="100"/>
      <c r="O25" s="100"/>
      <c r="P25" s="100"/>
      <c r="Q25" s="90"/>
      <c r="R25" s="100"/>
      <c r="S25" s="100"/>
      <c r="T25" s="100"/>
      <c r="U25" s="100"/>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row>
    <row r="26" spans="1:51" ht="15.75" customHeight="1" x14ac:dyDescent="0.25">
      <c r="A26" s="258"/>
      <c r="B26" s="390"/>
      <c r="C26" s="390"/>
      <c r="D26" s="394"/>
      <c r="E26" s="396"/>
      <c r="F26" s="401"/>
      <c r="G26" s="101" t="s">
        <v>226</v>
      </c>
      <c r="H26" s="101" t="s">
        <v>226</v>
      </c>
      <c r="I26" s="101" t="s">
        <v>226</v>
      </c>
      <c r="J26" s="101" t="s">
        <v>226</v>
      </c>
      <c r="K26" s="101" t="s">
        <v>226</v>
      </c>
      <c r="L26" s="101" t="s">
        <v>226</v>
      </c>
      <c r="M26" s="101" t="s">
        <v>226</v>
      </c>
      <c r="N26" s="101" t="s">
        <v>226</v>
      </c>
      <c r="O26" s="101" t="s">
        <v>226</v>
      </c>
      <c r="P26" s="101" t="s">
        <v>226</v>
      </c>
      <c r="Q26" s="101" t="s">
        <v>226</v>
      </c>
      <c r="R26" s="101" t="s">
        <v>226</v>
      </c>
      <c r="S26" s="101" t="s">
        <v>226</v>
      </c>
      <c r="T26" s="101" t="s">
        <v>226</v>
      </c>
      <c r="U26" s="101" t="s">
        <v>226</v>
      </c>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row>
    <row r="27" spans="1:51" x14ac:dyDescent="0.25">
      <c r="A27" s="258"/>
      <c r="B27" s="402" t="s">
        <v>102</v>
      </c>
      <c r="C27" s="402"/>
      <c r="D27" s="403" t="s">
        <v>240</v>
      </c>
      <c r="E27" s="404"/>
      <c r="F27" s="404"/>
      <c r="G27" s="404"/>
      <c r="H27" s="404"/>
      <c r="I27" s="404"/>
      <c r="J27" s="404"/>
      <c r="K27" s="405"/>
      <c r="L27" s="209"/>
      <c r="M27" s="78"/>
      <c r="N27" s="78"/>
      <c r="O27" s="78"/>
      <c r="P27" s="258"/>
      <c r="Q27" s="258"/>
      <c r="R27" s="258"/>
      <c r="S27" s="258"/>
      <c r="T27" s="258"/>
      <c r="U27" s="258"/>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row>
    <row r="28" spans="1:51" x14ac:dyDescent="0.25">
      <c r="A28" s="258"/>
      <c r="B28" s="402" t="s">
        <v>18</v>
      </c>
      <c r="C28" s="402"/>
      <c r="D28" s="406" t="s">
        <v>241</v>
      </c>
      <c r="E28" s="407"/>
      <c r="F28" s="407"/>
      <c r="G28" s="407"/>
      <c r="H28" s="407"/>
      <c r="I28" s="407"/>
      <c r="J28" s="407"/>
      <c r="K28" s="408"/>
      <c r="L28" s="78"/>
      <c r="M28" s="78"/>
      <c r="N28" s="78"/>
      <c r="O28" s="78"/>
      <c r="P28" s="258"/>
      <c r="Q28" s="258"/>
      <c r="R28" s="258"/>
      <c r="S28" s="258"/>
      <c r="T28" s="258"/>
      <c r="U28" s="258"/>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row>
    <row r="29" spans="1:51" ht="15" customHeight="1" x14ac:dyDescent="0.25">
      <c r="A29" s="258"/>
      <c r="B29" s="402" t="s">
        <v>20</v>
      </c>
      <c r="C29" s="402"/>
      <c r="D29" s="354" t="s">
        <v>21</v>
      </c>
      <c r="E29" s="355"/>
      <c r="F29" s="355"/>
      <c r="G29" s="355"/>
      <c r="H29" s="355"/>
      <c r="I29" s="355"/>
      <c r="J29" s="355"/>
      <c r="K29" s="356"/>
      <c r="L29" s="78"/>
      <c r="M29" s="78"/>
      <c r="N29" s="78"/>
      <c r="O29" s="78"/>
      <c r="P29" s="258"/>
      <c r="Q29" s="258"/>
      <c r="R29" s="258"/>
      <c r="S29" s="258"/>
      <c r="T29" s="258"/>
      <c r="U29" s="258"/>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row>
    <row r="30" spans="1:51" ht="15.75" customHeight="1" x14ac:dyDescent="0.25">
      <c r="A30" s="258"/>
      <c r="B30" s="402" t="s">
        <v>108</v>
      </c>
      <c r="C30" s="402"/>
      <c r="D30" s="403" t="s">
        <v>242</v>
      </c>
      <c r="E30" s="404"/>
      <c r="F30" s="404"/>
      <c r="G30" s="404"/>
      <c r="H30" s="404"/>
      <c r="I30" s="404"/>
      <c r="J30" s="404"/>
      <c r="K30" s="405"/>
      <c r="L30" s="77"/>
      <c r="M30" s="77"/>
      <c r="N30" s="77"/>
      <c r="O30" s="77"/>
      <c r="P30" s="258"/>
      <c r="Q30" s="258"/>
      <c r="R30" s="258"/>
      <c r="S30" s="258"/>
      <c r="T30" s="258"/>
      <c r="U30" s="258"/>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row>
    <row r="31" spans="1:51" x14ac:dyDescent="0.25">
      <c r="A31" s="258"/>
      <c r="B31" s="402" t="s">
        <v>22</v>
      </c>
      <c r="C31" s="402"/>
      <c r="D31" s="403" t="s">
        <v>243</v>
      </c>
      <c r="E31" s="404"/>
      <c r="F31" s="404"/>
      <c r="G31" s="404"/>
      <c r="H31" s="404"/>
      <c r="I31" s="404"/>
      <c r="J31" s="404"/>
      <c r="K31" s="405"/>
      <c r="L31" s="78"/>
      <c r="M31" s="78"/>
      <c r="N31" s="78"/>
      <c r="O31" s="78"/>
      <c r="P31" s="258"/>
      <c r="Q31" s="258"/>
      <c r="R31" s="258"/>
      <c r="S31" s="258"/>
      <c r="T31" s="258"/>
      <c r="U31" s="99" t="s">
        <v>244</v>
      </c>
      <c r="V31" s="259" t="s">
        <v>245</v>
      </c>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row>
    <row r="32" spans="1:51" x14ac:dyDescent="0.25">
      <c r="A32" s="258"/>
      <c r="B32" s="402" t="s">
        <v>23</v>
      </c>
      <c r="C32" s="402"/>
      <c r="D32" s="403" t="s">
        <v>242</v>
      </c>
      <c r="E32" s="404"/>
      <c r="F32" s="404"/>
      <c r="G32" s="404"/>
      <c r="H32" s="404"/>
      <c r="I32" s="404"/>
      <c r="J32" s="404"/>
      <c r="K32" s="405"/>
      <c r="L32" s="78"/>
      <c r="M32" s="78"/>
      <c r="N32" s="78"/>
      <c r="O32" s="78"/>
      <c r="P32" s="258"/>
      <c r="Q32" s="258"/>
      <c r="R32" s="258"/>
      <c r="S32" s="258"/>
      <c r="T32" s="258"/>
      <c r="U32" s="258"/>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row>
    <row r="33" spans="1:53" x14ac:dyDescent="0.25">
      <c r="A33" s="258"/>
      <c r="B33" s="402" t="s">
        <v>24</v>
      </c>
      <c r="C33" s="402"/>
      <c r="D33" s="354" t="s">
        <v>246</v>
      </c>
      <c r="E33" s="355"/>
      <c r="F33" s="355"/>
      <c r="G33" s="355"/>
      <c r="H33" s="355"/>
      <c r="I33" s="355"/>
      <c r="J33" s="355"/>
      <c r="K33" s="356"/>
      <c r="L33" s="78"/>
      <c r="M33" s="78"/>
      <c r="N33" s="78"/>
      <c r="O33" s="78"/>
      <c r="P33" s="258"/>
      <c r="Q33" s="258"/>
      <c r="R33" s="258"/>
      <c r="S33" s="258"/>
      <c r="T33" s="258"/>
      <c r="U33" s="258"/>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row>
    <row r="34" spans="1:53" ht="258" customHeight="1" x14ac:dyDescent="0.25">
      <c r="A34" s="258"/>
      <c r="B34" s="390" t="s">
        <v>247</v>
      </c>
      <c r="C34" s="390"/>
      <c r="D34" s="411" t="s">
        <v>248</v>
      </c>
      <c r="E34" s="412"/>
      <c r="F34" s="412"/>
      <c r="G34" s="412"/>
      <c r="H34" s="412"/>
      <c r="I34" s="412"/>
      <c r="J34" s="412"/>
      <c r="K34" s="413"/>
      <c r="L34" s="78"/>
      <c r="M34" s="78"/>
      <c r="N34" s="78"/>
      <c r="O34" s="78"/>
      <c r="P34" s="258"/>
      <c r="Q34" s="258"/>
      <c r="R34" s="258"/>
      <c r="S34" s="258"/>
      <c r="T34" s="258"/>
      <c r="U34" s="258"/>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105" t="str">
        <f>D34</f>
        <v xml:space="preserve">
'Dutch onshore wind capacity in 2020 was 4159 MW. This is lower than the 6 GW agreed in the Energieakkoord voor duurzame groei (2013). PBL estimates in her Monitor concept-RES (PBL, 2021a), based on an analysis of the draft regional energy strategies (RES), that the cumulatively planned electricity production from wind is around 30 TWh by 2030. This value includes plans where no decision has been made between solar PV and wind. Assuming an average full load factor of 2750 hours per year by 2030 the anticipated onshore wind power capacity would be around 11 GW. In the report an analysis of the pipeline of wind projects is also presented. From this, PBL estimates a minimum realisation of approximately 6.6 GW (18.5 TWh) by 2030, based on projects currently under development. Various studies for the Netherlands report long term realisations for 2050, ranging from 5 to 16 GW onshore wind power. The potential is not so much constrained in terms of space available, but it is a matter of ambition and societal acceptance. For the factsheet document, total Dutch onshore wind power potential is put at 15 GW by 2050, at a future average of 3000 full load hours resulting in 45 TWh. 
Wind speed category more than 8.5 m/s (dark red) gives approximately 450 MW (1.8 TWh) in 2050
Wind speed category between 8.0 and 8.5 m/s (red) gives approximately 1200 MW (4.4 TWh) in 2050
Wind speed category between 7.5 and 8.0 m/s (orange) gives approximately 2850 MW (9.6 TWh) in 2050
Wind speed category between 7.0 and 7.5 m/s (green) gives approximately 4350 MW (13.2 TWh) in 2050
Wind speed category between 6.75 and 7.0 m/s (light blue) gives approximately 1500 MW (4.1 TWh) in 2050
Wind speed category below  6.75 m/s (blue) gives approximately 4650 MW (11.8 TWh) in 2050
See the picture (RVO, 2021) for an indication of the average wind speeds throughout the Netherlands</v>
      </c>
    </row>
    <row r="35" spans="1:53" ht="21" customHeight="1" x14ac:dyDescent="0.25">
      <c r="A35" s="258"/>
      <c r="B35" s="419" t="s">
        <v>2</v>
      </c>
      <c r="C35" s="419"/>
      <c r="D35" s="419"/>
      <c r="E35" s="419"/>
      <c r="F35" s="419"/>
      <c r="G35" s="419"/>
      <c r="H35" s="419"/>
      <c r="I35" s="419"/>
      <c r="J35" s="419"/>
      <c r="K35" s="419"/>
      <c r="L35" s="419"/>
      <c r="M35" s="419"/>
      <c r="N35" s="419"/>
      <c r="O35" s="419"/>
      <c r="P35" s="419"/>
      <c r="Q35" s="419"/>
      <c r="R35" s="419"/>
      <c r="S35" s="419"/>
      <c r="T35" s="419"/>
      <c r="U35" s="419"/>
      <c r="V35" s="259"/>
      <c r="W35" s="259" t="s">
        <v>249</v>
      </c>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row>
    <row r="36" spans="1:53" ht="15.75" customHeight="1" x14ac:dyDescent="0.25">
      <c r="A36" s="258"/>
      <c r="B36" s="420" t="s">
        <v>250</v>
      </c>
      <c r="C36" s="420"/>
      <c r="D36" s="420"/>
      <c r="E36" s="420"/>
      <c r="F36" s="420"/>
      <c r="G36" s="376" t="s">
        <v>228</v>
      </c>
      <c r="H36" s="376"/>
      <c r="I36" s="376"/>
      <c r="J36" s="376"/>
      <c r="K36" s="376"/>
      <c r="L36" s="375">
        <v>2030</v>
      </c>
      <c r="M36" s="375"/>
      <c r="N36" s="375"/>
      <c r="O36" s="375"/>
      <c r="P36" s="375"/>
      <c r="Q36" s="376">
        <v>2050</v>
      </c>
      <c r="R36" s="376"/>
      <c r="S36" s="376"/>
      <c r="T36" s="376"/>
      <c r="U36" s="376"/>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row>
    <row r="37" spans="1:53" ht="15.75" customHeight="1" x14ac:dyDescent="0.25">
      <c r="A37" s="258"/>
      <c r="B37" s="420"/>
      <c r="C37" s="420"/>
      <c r="D37" s="421"/>
      <c r="E37" s="421"/>
      <c r="F37" s="421"/>
      <c r="G37" s="277" t="s">
        <v>219</v>
      </c>
      <c r="H37" s="277" t="s">
        <v>220</v>
      </c>
      <c r="I37" s="277" t="s">
        <v>221</v>
      </c>
      <c r="J37" s="277" t="s">
        <v>222</v>
      </c>
      <c r="K37" s="277" t="s">
        <v>223</v>
      </c>
      <c r="L37" s="278" t="s">
        <v>219</v>
      </c>
      <c r="M37" s="278" t="s">
        <v>220</v>
      </c>
      <c r="N37" s="278" t="s">
        <v>221</v>
      </c>
      <c r="O37" s="278" t="s">
        <v>222</v>
      </c>
      <c r="P37" s="278" t="s">
        <v>223</v>
      </c>
      <c r="Q37" s="277" t="s">
        <v>219</v>
      </c>
      <c r="R37" s="277" t="s">
        <v>220</v>
      </c>
      <c r="S37" s="277" t="s">
        <v>221</v>
      </c>
      <c r="T37" s="277" t="s">
        <v>222</v>
      </c>
      <c r="U37" s="277" t="s">
        <v>223</v>
      </c>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row>
    <row r="38" spans="1:53" ht="15.75" customHeight="1" x14ac:dyDescent="0.25">
      <c r="A38" s="258"/>
      <c r="B38" s="366" t="s">
        <v>26</v>
      </c>
      <c r="C38" s="422"/>
      <c r="D38" s="414" t="s">
        <v>251</v>
      </c>
      <c r="E38" s="416" t="str">
        <f>IF(D16="Please select","Please select 'Functional Unit' above",D16)</f>
        <v>MW</v>
      </c>
      <c r="F38" s="417"/>
      <c r="G38" s="92">
        <f>Calculations!Q270</f>
        <v>1.1490276738967837</v>
      </c>
      <c r="H38" s="100">
        <f>Calculations!P270</f>
        <v>1.0097232610321616</v>
      </c>
      <c r="I38" s="100">
        <f>Calculations!R270</f>
        <v>1.2341062079281975</v>
      </c>
      <c r="J38" s="100"/>
      <c r="K38" s="100"/>
      <c r="L38" s="92">
        <f>Calculations!Q271</f>
        <v>1.0910620792819745</v>
      </c>
      <c r="M38" s="100">
        <f>Calculations!P271</f>
        <v>0.77025619204005058</v>
      </c>
      <c r="N38" s="100">
        <f>Calculations!R271</f>
        <v>1.1176216529196168</v>
      </c>
      <c r="O38" s="100"/>
      <c r="P38" s="100"/>
      <c r="Q38" s="92">
        <f>Calculations!Q273</f>
        <v>0.98167539267015702</v>
      </c>
      <c r="R38" s="100">
        <f>Calculations!P273</f>
        <v>0.68798429060832123</v>
      </c>
      <c r="S38" s="100">
        <f>Calculations!R273</f>
        <v>1.0578211595591185</v>
      </c>
      <c r="T38" s="100"/>
      <c r="U38" s="100"/>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row>
    <row r="39" spans="1:53" x14ac:dyDescent="0.25">
      <c r="A39" s="258"/>
      <c r="B39" s="366"/>
      <c r="C39" s="422"/>
      <c r="D39" s="415"/>
      <c r="E39" s="418"/>
      <c r="F39" s="337"/>
      <c r="G39" s="101" t="s">
        <v>252</v>
      </c>
      <c r="H39" s="101" t="s">
        <v>253</v>
      </c>
      <c r="I39" s="101" t="s">
        <v>253</v>
      </c>
      <c r="J39" s="101" t="s">
        <v>226</v>
      </c>
      <c r="K39" s="101" t="s">
        <v>226</v>
      </c>
      <c r="L39" s="101" t="s">
        <v>254</v>
      </c>
      <c r="M39" s="101" t="s">
        <v>253</v>
      </c>
      <c r="N39" s="101" t="s">
        <v>253</v>
      </c>
      <c r="O39" s="101" t="s">
        <v>226</v>
      </c>
      <c r="P39" s="101" t="s">
        <v>226</v>
      </c>
      <c r="Q39" s="101" t="s">
        <v>254</v>
      </c>
      <c r="R39" s="101" t="s">
        <v>253</v>
      </c>
      <c r="S39" s="101" t="s">
        <v>253</v>
      </c>
      <c r="T39" s="101" t="s">
        <v>226</v>
      </c>
      <c r="U39" s="101" t="s">
        <v>226</v>
      </c>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row>
    <row r="40" spans="1:53" ht="15" customHeight="1" x14ac:dyDescent="0.25">
      <c r="A40" s="258"/>
      <c r="B40" s="366" t="s">
        <v>28</v>
      </c>
      <c r="C40" s="366"/>
      <c r="D40" s="414" t="s">
        <v>251</v>
      </c>
      <c r="E40" s="416" t="str">
        <f>IF(D16="Please select","Please select 'Functional Unit' above",D16)</f>
        <v>MW</v>
      </c>
      <c r="F40" s="417"/>
      <c r="G40" s="155"/>
      <c r="H40" s="100"/>
      <c r="I40" s="100"/>
      <c r="J40" s="100"/>
      <c r="K40" s="100"/>
      <c r="L40" s="92"/>
      <c r="M40" s="100"/>
      <c r="N40" s="100"/>
      <c r="O40" s="100"/>
      <c r="P40" s="100"/>
      <c r="Q40" s="92"/>
      <c r="R40" s="100"/>
      <c r="S40" s="100"/>
      <c r="T40" s="100"/>
      <c r="U40" s="100"/>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row>
    <row r="41" spans="1:53" ht="15" customHeight="1" x14ac:dyDescent="0.25">
      <c r="A41" s="258"/>
      <c r="B41" s="366"/>
      <c r="C41" s="366"/>
      <c r="D41" s="415"/>
      <c r="E41" s="418"/>
      <c r="F41" s="337"/>
      <c r="G41" s="102"/>
      <c r="H41" s="101" t="s">
        <v>226</v>
      </c>
      <c r="I41" s="101" t="s">
        <v>226</v>
      </c>
      <c r="J41" s="101" t="s">
        <v>226</v>
      </c>
      <c r="K41" s="101" t="s">
        <v>226</v>
      </c>
      <c r="L41" s="101" t="s">
        <v>226</v>
      </c>
      <c r="M41" s="101" t="s">
        <v>226</v>
      </c>
      <c r="N41" s="101" t="s">
        <v>226</v>
      </c>
      <c r="O41" s="101" t="s">
        <v>226</v>
      </c>
      <c r="P41" s="101" t="s">
        <v>226</v>
      </c>
      <c r="Q41" s="101" t="s">
        <v>226</v>
      </c>
      <c r="R41" s="101" t="s">
        <v>226</v>
      </c>
      <c r="S41" s="101" t="s">
        <v>226</v>
      </c>
      <c r="T41" s="101" t="s">
        <v>226</v>
      </c>
      <c r="U41" s="101" t="s">
        <v>226</v>
      </c>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row>
    <row r="42" spans="1:53" ht="15.75" customHeight="1" x14ac:dyDescent="0.25">
      <c r="A42" s="258"/>
      <c r="B42" s="366" t="s">
        <v>255</v>
      </c>
      <c r="C42" s="366"/>
      <c r="D42" s="414" t="s">
        <v>251</v>
      </c>
      <c r="E42" s="416" t="str">
        <f>IF(D16="Please select","Please select 'Functional Unit' above",D16)</f>
        <v>MW</v>
      </c>
      <c r="F42" s="417"/>
      <c r="G42" s="155">
        <f>Calculations!T270</f>
        <v>1.0658189977561705E-2</v>
      </c>
      <c r="H42" s="176">
        <f>Calculations!S270</f>
        <v>9.5923709798055347E-3</v>
      </c>
      <c r="I42" s="176">
        <f>Calculations!U270</f>
        <v>1.1724008975317876E-2</v>
      </c>
      <c r="J42" s="176"/>
      <c r="K42" s="176"/>
      <c r="L42" s="155">
        <f>Calculations!T271</f>
        <v>1.0097232610321616E-2</v>
      </c>
      <c r="M42" s="176">
        <f>Calculations!S271</f>
        <v>8.3079603710513386E-3</v>
      </c>
      <c r="N42" s="176">
        <f>Calculations!U271</f>
        <v>1.2054633897447818E-2</v>
      </c>
      <c r="O42" s="176"/>
      <c r="P42" s="176"/>
      <c r="Q42" s="155">
        <f>Calculations!T273</f>
        <v>9.0688107703814497E-3</v>
      </c>
      <c r="R42" s="176">
        <f>Calculations!S273</f>
        <v>7.2457812626989778E-3</v>
      </c>
      <c r="S42" s="176">
        <f>Calculations!U273</f>
        <v>1.1140865920706912E-2</v>
      </c>
      <c r="T42" s="100"/>
      <c r="U42" s="100"/>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row>
    <row r="43" spans="1:53" ht="15" customHeight="1" x14ac:dyDescent="0.25">
      <c r="A43" s="258"/>
      <c r="B43" s="366"/>
      <c r="C43" s="366"/>
      <c r="D43" s="415"/>
      <c r="E43" s="418"/>
      <c r="F43" s="337"/>
      <c r="G43" s="101" t="s">
        <v>252</v>
      </c>
      <c r="H43" s="224" t="str">
        <f>Calculations!T262</f>
        <v>Min. est. (-10%)</v>
      </c>
      <c r="I43" s="224" t="str">
        <f>Calculations!U262</f>
        <v>Max. est. (+10%)</v>
      </c>
      <c r="J43" s="101" t="s">
        <v>226</v>
      </c>
      <c r="K43" s="101" t="s">
        <v>226</v>
      </c>
      <c r="L43" s="101" t="s">
        <v>254</v>
      </c>
      <c r="M43" s="101" t="str">
        <f>Calculations!T263</f>
        <v>Min. est. (-18%)</v>
      </c>
      <c r="N43" s="101" t="str">
        <f>Calculations!U263</f>
        <v>Max. est. (+19%)</v>
      </c>
      <c r="O43" s="101" t="s">
        <v>226</v>
      </c>
      <c r="P43" s="101" t="s">
        <v>226</v>
      </c>
      <c r="Q43" s="101" t="s">
        <v>254</v>
      </c>
      <c r="R43" s="101" t="str">
        <f>Calculations!T265</f>
        <v>Min. est. (-20%)</v>
      </c>
      <c r="S43" s="101" t="str">
        <f>Calculations!U265</f>
        <v>Max. est. (+23%)</v>
      </c>
      <c r="T43" s="101" t="s">
        <v>226</v>
      </c>
      <c r="U43" s="101" t="s">
        <v>226</v>
      </c>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row>
    <row r="44" spans="1:53" ht="15.75" customHeight="1" x14ac:dyDescent="0.25">
      <c r="A44" s="258"/>
      <c r="B44" s="366" t="s">
        <v>256</v>
      </c>
      <c r="C44" s="366"/>
      <c r="D44" s="414" t="s">
        <v>251</v>
      </c>
      <c r="E44" s="416" t="s">
        <v>257</v>
      </c>
      <c r="F44" s="417"/>
      <c r="G44" s="158">
        <f>Calculations!W270</f>
        <v>9.6297681376215405E-6</v>
      </c>
      <c r="H44" s="223">
        <f>Calculations!V270</f>
        <v>8.6667913238593867E-6</v>
      </c>
      <c r="I44" s="223">
        <f>Calculations!X270</f>
        <v>1.0592744951383696E-5</v>
      </c>
      <c r="J44" s="223"/>
      <c r="K44" s="223"/>
      <c r="L44" s="158">
        <f>Calculations!W271</f>
        <v>9.1623036649214652E-6</v>
      </c>
      <c r="M44" s="223">
        <f>Calculations!V271</f>
        <v>7.5387047811391766E-6</v>
      </c>
      <c r="N44" s="223">
        <f>Calculations!X271</f>
        <v>1.0938464092128572E-5</v>
      </c>
      <c r="O44" s="223"/>
      <c r="P44" s="223"/>
      <c r="Q44" s="158">
        <f>Calculations!W273</f>
        <v>8.2273747195213163E-6</v>
      </c>
      <c r="R44" s="223">
        <f>Calculations!V273</f>
        <v>6.5734922795619592E-6</v>
      </c>
      <c r="S44" s="223">
        <f>Calculations!X273</f>
        <v>1.0107177330125859E-5</v>
      </c>
      <c r="T44" s="100"/>
      <c r="U44" s="100"/>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row>
    <row r="45" spans="1:53" ht="15" customHeight="1" x14ac:dyDescent="0.25">
      <c r="A45" s="258"/>
      <c r="B45" s="366"/>
      <c r="C45" s="366"/>
      <c r="D45" s="415"/>
      <c r="E45" s="418"/>
      <c r="F45" s="337"/>
      <c r="G45" s="101" t="s">
        <v>252</v>
      </c>
      <c r="H45" s="101" t="str">
        <f>Calculations!T262</f>
        <v>Min. est. (-10%)</v>
      </c>
      <c r="I45" s="101" t="str">
        <f>Calculations!U262</f>
        <v>Max. est. (+10%)</v>
      </c>
      <c r="J45" s="101" t="s">
        <v>226</v>
      </c>
      <c r="K45" s="101" t="s">
        <v>226</v>
      </c>
      <c r="L45" s="101" t="s">
        <v>254</v>
      </c>
      <c r="M45" s="101" t="str">
        <f>Calculations!T263</f>
        <v>Min. est. (-18%)</v>
      </c>
      <c r="N45" s="101" t="str">
        <f>Calculations!U263</f>
        <v>Max. est. (+19%)</v>
      </c>
      <c r="O45" s="101" t="s">
        <v>226</v>
      </c>
      <c r="P45" s="101" t="s">
        <v>226</v>
      </c>
      <c r="Q45" s="101" t="s">
        <v>254</v>
      </c>
      <c r="R45" s="101" t="str">
        <f>Calculations!T265</f>
        <v>Min. est. (-20%)</v>
      </c>
      <c r="S45" s="101" t="str">
        <f>Calculations!U265</f>
        <v>Max. est. (+23%)</v>
      </c>
      <c r="T45" s="101" t="s">
        <v>226</v>
      </c>
      <c r="U45" s="101" t="s">
        <v>226</v>
      </c>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row>
    <row r="46" spans="1:53" ht="40.5" customHeight="1" x14ac:dyDescent="0.25">
      <c r="A46" s="258"/>
      <c r="B46" s="362" t="s">
        <v>258</v>
      </c>
      <c r="C46" s="362"/>
      <c r="D46" s="428" t="s">
        <v>259</v>
      </c>
      <c r="E46" s="428"/>
      <c r="F46" s="428"/>
      <c r="G46" s="428"/>
      <c r="H46" s="428"/>
      <c r="I46" s="428"/>
      <c r="J46" s="428"/>
      <c r="K46" s="428"/>
      <c r="L46" s="428"/>
      <c r="M46" s="428"/>
      <c r="N46" s="428"/>
      <c r="O46" s="428"/>
      <c r="P46" s="428"/>
      <c r="Q46" s="428"/>
      <c r="R46" s="428"/>
      <c r="S46" s="428"/>
      <c r="T46" s="428"/>
      <c r="U46" s="428"/>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BA46" s="105" t="str">
        <f>D46</f>
        <v>For the year 2020 reference is made to PBL (2021b), which assesses in detail the costs of Dutch onshore wind power projects. The projection towards 2030 and 2050 is made based on multiple scenarios assessed in IRENA (2019), Ecofys (2018) and JRC (2018). The minimum and maximum values have been based on data ranges observed in WindEurope (2021).</v>
      </c>
    </row>
    <row r="47" spans="1:53" ht="21" customHeight="1" x14ac:dyDescent="0.25">
      <c r="A47" s="258"/>
      <c r="B47" s="419" t="s">
        <v>3</v>
      </c>
      <c r="C47" s="419"/>
      <c r="D47" s="419"/>
      <c r="E47" s="419"/>
      <c r="F47" s="419"/>
      <c r="G47" s="419"/>
      <c r="H47" s="419"/>
      <c r="I47" s="419"/>
      <c r="J47" s="419"/>
      <c r="K47" s="419"/>
      <c r="L47" s="419"/>
      <c r="M47" s="419"/>
      <c r="N47" s="419"/>
      <c r="O47" s="419"/>
      <c r="P47" s="419"/>
      <c r="Q47" s="419"/>
      <c r="R47" s="419"/>
      <c r="S47" s="419"/>
      <c r="T47" s="419"/>
      <c r="U47" s="41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row>
    <row r="48" spans="1:53" ht="15.75" customHeight="1" x14ac:dyDescent="0.25">
      <c r="A48" s="258"/>
      <c r="B48" s="423" t="s">
        <v>260</v>
      </c>
      <c r="C48" s="424"/>
      <c r="D48" s="427" t="s">
        <v>261</v>
      </c>
      <c r="E48" s="427"/>
      <c r="F48" s="427" t="s">
        <v>0</v>
      </c>
      <c r="G48" s="376" t="s">
        <v>228</v>
      </c>
      <c r="H48" s="376"/>
      <c r="I48" s="376"/>
      <c r="J48" s="376"/>
      <c r="K48" s="376"/>
      <c r="L48" s="375">
        <v>2030</v>
      </c>
      <c r="M48" s="375"/>
      <c r="N48" s="375"/>
      <c r="O48" s="375"/>
      <c r="P48" s="375"/>
      <c r="Q48" s="376">
        <v>2050</v>
      </c>
      <c r="R48" s="376"/>
      <c r="S48" s="376"/>
      <c r="T48" s="376"/>
      <c r="U48" s="376"/>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row>
    <row r="49" spans="1:53" x14ac:dyDescent="0.25">
      <c r="A49" s="258"/>
      <c r="B49" s="425"/>
      <c r="C49" s="426"/>
      <c r="D49" s="427"/>
      <c r="E49" s="427"/>
      <c r="F49" s="427"/>
      <c r="G49" s="277" t="s">
        <v>219</v>
      </c>
      <c r="H49" s="277" t="s">
        <v>220</v>
      </c>
      <c r="I49" s="277" t="s">
        <v>221</v>
      </c>
      <c r="J49" s="277" t="s">
        <v>222</v>
      </c>
      <c r="K49" s="277" t="s">
        <v>223</v>
      </c>
      <c r="L49" s="278" t="s">
        <v>219</v>
      </c>
      <c r="M49" s="278" t="s">
        <v>220</v>
      </c>
      <c r="N49" s="278" t="s">
        <v>221</v>
      </c>
      <c r="O49" s="278" t="s">
        <v>222</v>
      </c>
      <c r="P49" s="278" t="s">
        <v>223</v>
      </c>
      <c r="Q49" s="277" t="s">
        <v>219</v>
      </c>
      <c r="R49" s="277" t="s">
        <v>220</v>
      </c>
      <c r="S49" s="277" t="s">
        <v>221</v>
      </c>
      <c r="T49" s="277" t="s">
        <v>222</v>
      </c>
      <c r="U49" s="277" t="s">
        <v>223</v>
      </c>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row>
    <row r="50" spans="1:53" ht="15.75" customHeight="1" x14ac:dyDescent="0.25">
      <c r="A50" s="258"/>
      <c r="B50" s="429" t="s">
        <v>262</v>
      </c>
      <c r="C50" s="430"/>
      <c r="D50" s="435" t="s">
        <v>32</v>
      </c>
      <c r="E50" s="435"/>
      <c r="F50" s="436" t="s">
        <v>31</v>
      </c>
      <c r="G50" s="156">
        <v>-1</v>
      </c>
      <c r="H50" s="100"/>
      <c r="I50" s="100"/>
      <c r="J50" s="100"/>
      <c r="K50" s="100"/>
      <c r="L50" s="156">
        <v>-1</v>
      </c>
      <c r="M50" s="100"/>
      <c r="N50" s="100"/>
      <c r="O50" s="100"/>
      <c r="P50" s="100"/>
      <c r="Q50" s="156">
        <v>-1</v>
      </c>
      <c r="R50" s="100"/>
      <c r="S50" s="100"/>
      <c r="T50" s="100"/>
      <c r="U50" s="100"/>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row>
    <row r="51" spans="1:53" x14ac:dyDescent="0.25">
      <c r="A51" s="258"/>
      <c r="B51" s="431"/>
      <c r="C51" s="432"/>
      <c r="D51" s="435"/>
      <c r="E51" s="435"/>
      <c r="F51" s="436"/>
      <c r="G51" s="102" t="s">
        <v>226</v>
      </c>
      <c r="H51" s="101" t="s">
        <v>226</v>
      </c>
      <c r="I51" s="101" t="s">
        <v>226</v>
      </c>
      <c r="J51" s="101" t="s">
        <v>226</v>
      </c>
      <c r="K51" s="101" t="s">
        <v>226</v>
      </c>
      <c r="L51" s="102" t="s">
        <v>226</v>
      </c>
      <c r="M51" s="101" t="s">
        <v>226</v>
      </c>
      <c r="N51" s="101" t="s">
        <v>226</v>
      </c>
      <c r="O51" s="101" t="s">
        <v>226</v>
      </c>
      <c r="P51" s="101" t="s">
        <v>226</v>
      </c>
      <c r="Q51" s="102" t="s">
        <v>226</v>
      </c>
      <c r="R51" s="101" t="s">
        <v>226</v>
      </c>
      <c r="S51" s="101" t="s">
        <v>226</v>
      </c>
      <c r="T51" s="101" t="s">
        <v>226</v>
      </c>
      <c r="U51" s="101" t="s">
        <v>226</v>
      </c>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row>
    <row r="52" spans="1:53" ht="15" customHeight="1" x14ac:dyDescent="0.25">
      <c r="A52" s="258"/>
      <c r="B52" s="431"/>
      <c r="C52" s="432"/>
      <c r="D52" s="437" t="s">
        <v>263</v>
      </c>
      <c r="E52" s="438"/>
      <c r="F52" s="436" t="s">
        <v>31</v>
      </c>
      <c r="G52" s="92">
        <v>1</v>
      </c>
      <c r="H52" s="100"/>
      <c r="I52" s="100"/>
      <c r="J52" s="100"/>
      <c r="K52" s="100"/>
      <c r="L52" s="92">
        <v>1</v>
      </c>
      <c r="M52" s="100"/>
      <c r="N52" s="100"/>
      <c r="O52" s="100"/>
      <c r="P52" s="100"/>
      <c r="Q52" s="92">
        <v>1</v>
      </c>
      <c r="R52" s="100"/>
      <c r="S52" s="100"/>
      <c r="T52" s="100"/>
      <c r="U52" s="100"/>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row>
    <row r="53" spans="1:53" x14ac:dyDescent="0.25">
      <c r="A53" s="258"/>
      <c r="B53" s="431"/>
      <c r="C53" s="432"/>
      <c r="D53" s="439"/>
      <c r="E53" s="440"/>
      <c r="F53" s="436"/>
      <c r="G53" s="101" t="s">
        <v>226</v>
      </c>
      <c r="H53" s="101" t="s">
        <v>226</v>
      </c>
      <c r="I53" s="101" t="s">
        <v>226</v>
      </c>
      <c r="J53" s="101" t="s">
        <v>226</v>
      </c>
      <c r="K53" s="101" t="s">
        <v>226</v>
      </c>
      <c r="L53" s="101" t="s">
        <v>226</v>
      </c>
      <c r="M53" s="101" t="s">
        <v>226</v>
      </c>
      <c r="N53" s="101" t="s">
        <v>226</v>
      </c>
      <c r="O53" s="101" t="s">
        <v>226</v>
      </c>
      <c r="P53" s="101" t="s">
        <v>226</v>
      </c>
      <c r="Q53" s="101" t="s">
        <v>226</v>
      </c>
      <c r="R53" s="101" t="s">
        <v>226</v>
      </c>
      <c r="S53" s="101" t="s">
        <v>226</v>
      </c>
      <c r="T53" s="101" t="s">
        <v>226</v>
      </c>
      <c r="U53" s="101" t="s">
        <v>226</v>
      </c>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row>
    <row r="54" spans="1:53" x14ac:dyDescent="0.25">
      <c r="A54" s="258"/>
      <c r="B54" s="431"/>
      <c r="C54" s="432"/>
      <c r="D54" s="435" t="s">
        <v>264</v>
      </c>
      <c r="E54" s="435"/>
      <c r="F54" s="436" t="s">
        <v>31</v>
      </c>
      <c r="G54" s="92"/>
      <c r="H54" s="100"/>
      <c r="I54" s="100"/>
      <c r="J54" s="100"/>
      <c r="K54" s="100"/>
      <c r="L54" s="92"/>
      <c r="M54" s="100"/>
      <c r="N54" s="100"/>
      <c r="O54" s="100"/>
      <c r="P54" s="100"/>
      <c r="Q54" s="92"/>
      <c r="R54" s="100"/>
      <c r="S54" s="100"/>
      <c r="T54" s="100"/>
      <c r="U54" s="100"/>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row>
    <row r="55" spans="1:53" x14ac:dyDescent="0.25">
      <c r="A55" s="258"/>
      <c r="B55" s="431"/>
      <c r="C55" s="432"/>
      <c r="D55" s="435"/>
      <c r="E55" s="435"/>
      <c r="F55" s="436"/>
      <c r="G55" s="101" t="s">
        <v>226</v>
      </c>
      <c r="H55" s="101" t="s">
        <v>226</v>
      </c>
      <c r="I55" s="101" t="s">
        <v>226</v>
      </c>
      <c r="J55" s="101" t="s">
        <v>226</v>
      </c>
      <c r="K55" s="101" t="s">
        <v>226</v>
      </c>
      <c r="L55" s="101" t="s">
        <v>226</v>
      </c>
      <c r="M55" s="101" t="s">
        <v>226</v>
      </c>
      <c r="N55" s="101" t="s">
        <v>226</v>
      </c>
      <c r="O55" s="101" t="s">
        <v>226</v>
      </c>
      <c r="P55" s="101" t="s">
        <v>226</v>
      </c>
      <c r="Q55" s="101" t="s">
        <v>226</v>
      </c>
      <c r="R55" s="101" t="s">
        <v>226</v>
      </c>
      <c r="S55" s="101" t="s">
        <v>226</v>
      </c>
      <c r="T55" s="101" t="s">
        <v>226</v>
      </c>
      <c r="U55" s="101" t="s">
        <v>226</v>
      </c>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row>
    <row r="56" spans="1:53" x14ac:dyDescent="0.25">
      <c r="A56" s="258"/>
      <c r="B56" s="431"/>
      <c r="C56" s="432"/>
      <c r="D56" s="435" t="s">
        <v>264</v>
      </c>
      <c r="E56" s="435"/>
      <c r="F56" s="436" t="s">
        <v>31</v>
      </c>
      <c r="G56" s="92"/>
      <c r="H56" s="100"/>
      <c r="I56" s="100"/>
      <c r="J56" s="100"/>
      <c r="K56" s="100"/>
      <c r="L56" s="92"/>
      <c r="M56" s="100"/>
      <c r="N56" s="100"/>
      <c r="O56" s="100"/>
      <c r="P56" s="100"/>
      <c r="Q56" s="92"/>
      <c r="R56" s="100"/>
      <c r="S56" s="100"/>
      <c r="T56" s="100"/>
      <c r="U56" s="100"/>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row>
    <row r="57" spans="1:53" x14ac:dyDescent="0.25">
      <c r="A57" s="258"/>
      <c r="B57" s="433"/>
      <c r="C57" s="434"/>
      <c r="D57" s="435"/>
      <c r="E57" s="435"/>
      <c r="F57" s="436"/>
      <c r="G57" s="101" t="s">
        <v>226</v>
      </c>
      <c r="H57" s="101" t="s">
        <v>226</v>
      </c>
      <c r="I57" s="101" t="s">
        <v>226</v>
      </c>
      <c r="J57" s="101" t="s">
        <v>226</v>
      </c>
      <c r="K57" s="101" t="s">
        <v>226</v>
      </c>
      <c r="L57" s="101" t="s">
        <v>226</v>
      </c>
      <c r="M57" s="101" t="s">
        <v>226</v>
      </c>
      <c r="N57" s="101" t="s">
        <v>226</v>
      </c>
      <c r="O57" s="101" t="s">
        <v>226</v>
      </c>
      <c r="P57" s="101" t="s">
        <v>226</v>
      </c>
      <c r="Q57" s="101" t="s">
        <v>226</v>
      </c>
      <c r="R57" s="101" t="s">
        <v>226</v>
      </c>
      <c r="S57" s="101" t="s">
        <v>226</v>
      </c>
      <c r="T57" s="101" t="s">
        <v>226</v>
      </c>
      <c r="U57" s="101" t="s">
        <v>226</v>
      </c>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row>
    <row r="58" spans="1:53" ht="40.5" customHeight="1" x14ac:dyDescent="0.25">
      <c r="A58" s="258"/>
      <c r="B58" s="366" t="s">
        <v>265</v>
      </c>
      <c r="C58" s="366"/>
      <c r="D58" s="428" t="s">
        <v>266</v>
      </c>
      <c r="E58" s="428"/>
      <c r="F58" s="428"/>
      <c r="G58" s="428"/>
      <c r="H58" s="428"/>
      <c r="I58" s="428"/>
      <c r="J58" s="428"/>
      <c r="K58" s="428"/>
      <c r="L58" s="428"/>
      <c r="M58" s="428"/>
      <c r="N58" s="428"/>
      <c r="O58" s="428"/>
      <c r="P58" s="428"/>
      <c r="Q58" s="428"/>
      <c r="R58" s="428"/>
      <c r="S58" s="428"/>
      <c r="T58" s="428"/>
      <c r="U58" s="428"/>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BA58" s="105" t="str">
        <f>D58</f>
        <v>Explain here (e.g. flexible in and out)</v>
      </c>
    </row>
    <row r="59" spans="1:53" ht="21" customHeight="1" x14ac:dyDescent="0.25">
      <c r="A59" s="258"/>
      <c r="B59" s="442" t="s">
        <v>4</v>
      </c>
      <c r="C59" s="443"/>
      <c r="D59" s="443"/>
      <c r="E59" s="443"/>
      <c r="F59" s="443"/>
      <c r="G59" s="443"/>
      <c r="H59" s="443"/>
      <c r="I59" s="443"/>
      <c r="J59" s="443"/>
      <c r="K59" s="443"/>
      <c r="L59" s="443"/>
      <c r="M59" s="443"/>
      <c r="N59" s="443"/>
      <c r="O59" s="443"/>
      <c r="P59" s="443"/>
      <c r="Q59" s="443"/>
      <c r="R59" s="443"/>
      <c r="S59" s="443"/>
      <c r="T59" s="443"/>
      <c r="U59" s="443"/>
      <c r="V59" s="259"/>
      <c r="W59" s="259"/>
      <c r="X59" s="259"/>
      <c r="Y59" s="259"/>
      <c r="Z59" s="259"/>
      <c r="AA59" s="259"/>
      <c r="AB59" s="259"/>
      <c r="AC59" s="259"/>
      <c r="AD59" s="259"/>
      <c r="AE59" s="259"/>
      <c r="AF59" s="259"/>
      <c r="AG59" s="259"/>
      <c r="AH59" s="259"/>
      <c r="AI59" s="259"/>
      <c r="AJ59" s="259"/>
      <c r="AK59" s="259"/>
      <c r="AL59" s="259"/>
      <c r="AM59" s="259"/>
      <c r="AN59" s="259"/>
      <c r="AO59" s="259"/>
      <c r="AP59" s="259"/>
      <c r="AQ59" s="259"/>
      <c r="AR59" s="259"/>
      <c r="AS59" s="259"/>
      <c r="AT59" s="259"/>
      <c r="AU59" s="259"/>
      <c r="AV59" s="259"/>
      <c r="AW59" s="259"/>
      <c r="AX59" s="259"/>
      <c r="AY59" s="259"/>
    </row>
    <row r="60" spans="1:53" ht="16.5" customHeight="1" x14ac:dyDescent="0.25">
      <c r="A60" s="258"/>
      <c r="B60" s="429" t="s">
        <v>267</v>
      </c>
      <c r="C60" s="430"/>
      <c r="D60" s="444" t="s">
        <v>268</v>
      </c>
      <c r="E60" s="445"/>
      <c r="F60" s="448" t="s">
        <v>0</v>
      </c>
      <c r="G60" s="376" t="s">
        <v>228</v>
      </c>
      <c r="H60" s="376"/>
      <c r="I60" s="376"/>
      <c r="J60" s="376"/>
      <c r="K60" s="376"/>
      <c r="L60" s="375">
        <v>2030</v>
      </c>
      <c r="M60" s="375"/>
      <c r="N60" s="375"/>
      <c r="O60" s="375"/>
      <c r="P60" s="375"/>
      <c r="Q60" s="376">
        <v>2050</v>
      </c>
      <c r="R60" s="376"/>
      <c r="S60" s="376"/>
      <c r="T60" s="376"/>
      <c r="U60" s="376"/>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row>
    <row r="61" spans="1:53" x14ac:dyDescent="0.25">
      <c r="A61" s="258"/>
      <c r="B61" s="431"/>
      <c r="C61" s="432"/>
      <c r="D61" s="446"/>
      <c r="E61" s="447"/>
      <c r="F61" s="449"/>
      <c r="G61" s="277" t="s">
        <v>219</v>
      </c>
      <c r="H61" s="277" t="s">
        <v>220</v>
      </c>
      <c r="I61" s="277" t="s">
        <v>221</v>
      </c>
      <c r="J61" s="277" t="s">
        <v>222</v>
      </c>
      <c r="K61" s="277" t="s">
        <v>223</v>
      </c>
      <c r="L61" s="278" t="s">
        <v>219</v>
      </c>
      <c r="M61" s="278" t="s">
        <v>220</v>
      </c>
      <c r="N61" s="278" t="s">
        <v>221</v>
      </c>
      <c r="O61" s="278" t="s">
        <v>222</v>
      </c>
      <c r="P61" s="278" t="s">
        <v>223</v>
      </c>
      <c r="Q61" s="277" t="s">
        <v>219</v>
      </c>
      <c r="R61" s="277" t="s">
        <v>220</v>
      </c>
      <c r="S61" s="277" t="s">
        <v>221</v>
      </c>
      <c r="T61" s="277" t="s">
        <v>222</v>
      </c>
      <c r="U61" s="277" t="s">
        <v>223</v>
      </c>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row>
    <row r="62" spans="1:53" ht="15.75" customHeight="1" x14ac:dyDescent="0.25">
      <c r="A62" s="258"/>
      <c r="B62" s="431"/>
      <c r="C62" s="432"/>
      <c r="D62" s="435" t="s">
        <v>242</v>
      </c>
      <c r="E62" s="435"/>
      <c r="F62" s="441" t="s">
        <v>242</v>
      </c>
      <c r="G62" s="92"/>
      <c r="H62" s="100"/>
      <c r="I62" s="100"/>
      <c r="J62" s="100"/>
      <c r="K62" s="100"/>
      <c r="L62" s="92"/>
      <c r="M62" s="100"/>
      <c r="N62" s="100"/>
      <c r="O62" s="100"/>
      <c r="P62" s="100"/>
      <c r="Q62" s="92"/>
      <c r="R62" s="100"/>
      <c r="S62" s="100"/>
      <c r="T62" s="100"/>
      <c r="U62" s="100"/>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row>
    <row r="63" spans="1:53" x14ac:dyDescent="0.25">
      <c r="A63" s="258"/>
      <c r="B63" s="431"/>
      <c r="C63" s="432"/>
      <c r="D63" s="435"/>
      <c r="E63" s="435"/>
      <c r="F63" s="441"/>
      <c r="G63" s="102" t="s">
        <v>226</v>
      </c>
      <c r="H63" s="101" t="s">
        <v>226</v>
      </c>
      <c r="I63" s="101" t="s">
        <v>226</v>
      </c>
      <c r="J63" s="101" t="s">
        <v>226</v>
      </c>
      <c r="K63" s="101" t="s">
        <v>226</v>
      </c>
      <c r="L63" s="102" t="s">
        <v>226</v>
      </c>
      <c r="M63" s="101" t="s">
        <v>226</v>
      </c>
      <c r="N63" s="101" t="s">
        <v>226</v>
      </c>
      <c r="O63" s="101" t="s">
        <v>226</v>
      </c>
      <c r="P63" s="101" t="s">
        <v>226</v>
      </c>
      <c r="Q63" s="102" t="s">
        <v>226</v>
      </c>
      <c r="R63" s="101" t="s">
        <v>226</v>
      </c>
      <c r="S63" s="101" t="s">
        <v>226</v>
      </c>
      <c r="T63" s="101" t="s">
        <v>226</v>
      </c>
      <c r="U63" s="101" t="s">
        <v>226</v>
      </c>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row>
    <row r="64" spans="1:53" x14ac:dyDescent="0.25">
      <c r="A64" s="258"/>
      <c r="B64" s="431"/>
      <c r="C64" s="432"/>
      <c r="D64" s="435" t="s">
        <v>242</v>
      </c>
      <c r="E64" s="435"/>
      <c r="F64" s="441" t="s">
        <v>242</v>
      </c>
      <c r="G64" s="92"/>
      <c r="H64" s="100"/>
      <c r="I64" s="100"/>
      <c r="J64" s="100"/>
      <c r="K64" s="100"/>
      <c r="L64" s="92"/>
      <c r="M64" s="100"/>
      <c r="N64" s="100"/>
      <c r="O64" s="100"/>
      <c r="P64" s="100"/>
      <c r="Q64" s="92"/>
      <c r="R64" s="100"/>
      <c r="S64" s="100"/>
      <c r="T64" s="100"/>
      <c r="U64" s="100"/>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row>
    <row r="65" spans="1:53" x14ac:dyDescent="0.25">
      <c r="A65" s="258"/>
      <c r="B65" s="433"/>
      <c r="C65" s="434"/>
      <c r="D65" s="435"/>
      <c r="E65" s="435"/>
      <c r="F65" s="441"/>
      <c r="G65" s="101" t="s">
        <v>226</v>
      </c>
      <c r="H65" s="101" t="s">
        <v>226</v>
      </c>
      <c r="I65" s="101" t="s">
        <v>226</v>
      </c>
      <c r="J65" s="101" t="s">
        <v>226</v>
      </c>
      <c r="K65" s="101" t="s">
        <v>226</v>
      </c>
      <c r="L65" s="101" t="s">
        <v>226</v>
      </c>
      <c r="M65" s="101" t="s">
        <v>226</v>
      </c>
      <c r="N65" s="101" t="s">
        <v>226</v>
      </c>
      <c r="O65" s="101" t="s">
        <v>226</v>
      </c>
      <c r="P65" s="101" t="s">
        <v>226</v>
      </c>
      <c r="Q65" s="101" t="s">
        <v>226</v>
      </c>
      <c r="R65" s="101" t="s">
        <v>226</v>
      </c>
      <c r="S65" s="101" t="s">
        <v>226</v>
      </c>
      <c r="T65" s="101" t="s">
        <v>226</v>
      </c>
      <c r="U65" s="101" t="s">
        <v>226</v>
      </c>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row>
    <row r="66" spans="1:53" ht="40.5" customHeight="1" x14ac:dyDescent="0.25">
      <c r="A66" s="258"/>
      <c r="B66" s="366" t="s">
        <v>269</v>
      </c>
      <c r="C66" s="366"/>
      <c r="D66" s="428" t="s">
        <v>270</v>
      </c>
      <c r="E66" s="428"/>
      <c r="F66" s="428"/>
      <c r="G66" s="428"/>
      <c r="H66" s="428"/>
      <c r="I66" s="428"/>
      <c r="J66" s="428"/>
      <c r="K66" s="428"/>
      <c r="L66" s="428"/>
      <c r="M66" s="428"/>
      <c r="N66" s="428"/>
      <c r="O66" s="428"/>
      <c r="P66" s="428"/>
      <c r="Q66" s="428"/>
      <c r="R66" s="428"/>
      <c r="S66" s="428"/>
      <c r="T66" s="428"/>
      <c r="U66" s="428"/>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BA66" s="105" t="str">
        <f>D66</f>
        <v>Explain here</v>
      </c>
    </row>
    <row r="67" spans="1:53" ht="21" customHeight="1" x14ac:dyDescent="0.25">
      <c r="A67" s="258"/>
      <c r="B67" s="419" t="s">
        <v>271</v>
      </c>
      <c r="C67" s="419"/>
      <c r="D67" s="419"/>
      <c r="E67" s="419"/>
      <c r="F67" s="419"/>
      <c r="G67" s="419"/>
      <c r="H67" s="419"/>
      <c r="I67" s="419"/>
      <c r="J67" s="419"/>
      <c r="K67" s="419"/>
      <c r="L67" s="419"/>
      <c r="M67" s="419"/>
      <c r="N67" s="419"/>
      <c r="O67" s="419"/>
      <c r="P67" s="419"/>
      <c r="Q67" s="419"/>
      <c r="R67" s="419"/>
      <c r="S67" s="419"/>
      <c r="T67" s="419"/>
      <c r="U67" s="41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row>
    <row r="68" spans="1:53" ht="16.5" customHeight="1" x14ac:dyDescent="0.25">
      <c r="A68" s="258"/>
      <c r="B68" s="459" t="s">
        <v>5</v>
      </c>
      <c r="C68" s="459"/>
      <c r="D68" s="427" t="s">
        <v>272</v>
      </c>
      <c r="E68" s="427"/>
      <c r="F68" s="427" t="s">
        <v>0</v>
      </c>
      <c r="G68" s="376" t="s">
        <v>228</v>
      </c>
      <c r="H68" s="376"/>
      <c r="I68" s="376"/>
      <c r="J68" s="376"/>
      <c r="K68" s="376"/>
      <c r="L68" s="375">
        <v>2030</v>
      </c>
      <c r="M68" s="375"/>
      <c r="N68" s="375"/>
      <c r="O68" s="375"/>
      <c r="P68" s="375"/>
      <c r="Q68" s="376">
        <v>2050</v>
      </c>
      <c r="R68" s="376"/>
      <c r="S68" s="376"/>
      <c r="T68" s="376"/>
      <c r="U68" s="376"/>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row>
    <row r="69" spans="1:53" ht="15.75" customHeight="1" x14ac:dyDescent="0.25">
      <c r="A69" s="258"/>
      <c r="B69" s="459"/>
      <c r="C69" s="459"/>
      <c r="D69" s="427"/>
      <c r="E69" s="427"/>
      <c r="F69" s="427"/>
      <c r="G69" s="277" t="s">
        <v>219</v>
      </c>
      <c r="H69" s="277" t="s">
        <v>220</v>
      </c>
      <c r="I69" s="277" t="s">
        <v>221</v>
      </c>
      <c r="J69" s="277" t="s">
        <v>222</v>
      </c>
      <c r="K69" s="277" t="s">
        <v>223</v>
      </c>
      <c r="L69" s="278" t="s">
        <v>219</v>
      </c>
      <c r="M69" s="278" t="s">
        <v>220</v>
      </c>
      <c r="N69" s="278" t="s">
        <v>221</v>
      </c>
      <c r="O69" s="278" t="s">
        <v>222</v>
      </c>
      <c r="P69" s="278" t="s">
        <v>223</v>
      </c>
      <c r="Q69" s="277" t="s">
        <v>219</v>
      </c>
      <c r="R69" s="277" t="s">
        <v>220</v>
      </c>
      <c r="S69" s="277" t="s">
        <v>221</v>
      </c>
      <c r="T69" s="277" t="s">
        <v>222</v>
      </c>
      <c r="U69" s="277" t="s">
        <v>223</v>
      </c>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row>
    <row r="70" spans="1:53" ht="15.75" customHeight="1" x14ac:dyDescent="0.25">
      <c r="A70" s="258"/>
      <c r="B70" s="459"/>
      <c r="C70" s="459"/>
      <c r="D70" s="435" t="s">
        <v>264</v>
      </c>
      <c r="E70" s="435"/>
      <c r="F70" s="441" t="s">
        <v>264</v>
      </c>
      <c r="G70" s="92"/>
      <c r="H70" s="100"/>
      <c r="I70" s="100"/>
      <c r="J70" s="100"/>
      <c r="K70" s="100"/>
      <c r="L70" s="92"/>
      <c r="M70" s="100"/>
      <c r="N70" s="100"/>
      <c r="O70" s="100"/>
      <c r="P70" s="100"/>
      <c r="Q70" s="92"/>
      <c r="R70" s="100"/>
      <c r="S70" s="100"/>
      <c r="T70" s="100"/>
      <c r="U70" s="100"/>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row>
    <row r="71" spans="1:53" ht="15.75" customHeight="1" x14ac:dyDescent="0.25">
      <c r="A71" s="258"/>
      <c r="B71" s="459"/>
      <c r="C71" s="459"/>
      <c r="D71" s="435"/>
      <c r="E71" s="435"/>
      <c r="F71" s="441"/>
      <c r="G71" s="102" t="s">
        <v>226</v>
      </c>
      <c r="H71" s="101" t="s">
        <v>226</v>
      </c>
      <c r="I71" s="101" t="s">
        <v>226</v>
      </c>
      <c r="J71" s="101" t="s">
        <v>226</v>
      </c>
      <c r="K71" s="101" t="s">
        <v>226</v>
      </c>
      <c r="L71" s="102" t="s">
        <v>226</v>
      </c>
      <c r="M71" s="101" t="s">
        <v>226</v>
      </c>
      <c r="N71" s="101" t="s">
        <v>226</v>
      </c>
      <c r="O71" s="101" t="s">
        <v>226</v>
      </c>
      <c r="P71" s="101" t="s">
        <v>226</v>
      </c>
      <c r="Q71" s="102" t="s">
        <v>226</v>
      </c>
      <c r="R71" s="101" t="s">
        <v>226</v>
      </c>
      <c r="S71" s="101" t="s">
        <v>226</v>
      </c>
      <c r="T71" s="101" t="s">
        <v>226</v>
      </c>
      <c r="U71" s="101" t="s">
        <v>226</v>
      </c>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row>
    <row r="72" spans="1:53" ht="15.75" customHeight="1" x14ac:dyDescent="0.25">
      <c r="A72" s="258"/>
      <c r="B72" s="459"/>
      <c r="C72" s="459"/>
      <c r="D72" s="435" t="s">
        <v>264</v>
      </c>
      <c r="E72" s="435"/>
      <c r="F72" s="441" t="s">
        <v>264</v>
      </c>
      <c r="G72" s="92"/>
      <c r="H72" s="100"/>
      <c r="I72" s="100"/>
      <c r="J72" s="100"/>
      <c r="K72" s="100"/>
      <c r="L72" s="92"/>
      <c r="M72" s="100"/>
      <c r="N72" s="100"/>
      <c r="O72" s="100"/>
      <c r="P72" s="100"/>
      <c r="Q72" s="92"/>
      <c r="R72" s="100"/>
      <c r="S72" s="100"/>
      <c r="T72" s="100"/>
      <c r="U72" s="100"/>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row>
    <row r="73" spans="1:53" ht="15.75" customHeight="1" x14ac:dyDescent="0.25">
      <c r="A73" s="258"/>
      <c r="B73" s="459"/>
      <c r="C73" s="459"/>
      <c r="D73" s="435"/>
      <c r="E73" s="435"/>
      <c r="F73" s="441"/>
      <c r="G73" s="101" t="s">
        <v>226</v>
      </c>
      <c r="H73" s="101" t="s">
        <v>226</v>
      </c>
      <c r="I73" s="101" t="s">
        <v>226</v>
      </c>
      <c r="J73" s="101" t="s">
        <v>226</v>
      </c>
      <c r="K73" s="101" t="s">
        <v>226</v>
      </c>
      <c r="L73" s="101" t="s">
        <v>226</v>
      </c>
      <c r="M73" s="101" t="s">
        <v>226</v>
      </c>
      <c r="N73" s="101" t="s">
        <v>226</v>
      </c>
      <c r="O73" s="101" t="s">
        <v>226</v>
      </c>
      <c r="P73" s="101" t="s">
        <v>226</v>
      </c>
      <c r="Q73" s="101" t="s">
        <v>226</v>
      </c>
      <c r="R73" s="101" t="s">
        <v>226</v>
      </c>
      <c r="S73" s="101" t="s">
        <v>226</v>
      </c>
      <c r="T73" s="101" t="s">
        <v>226</v>
      </c>
      <c r="U73" s="101" t="s">
        <v>226</v>
      </c>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row>
    <row r="74" spans="1:53" ht="15.75" customHeight="1" x14ac:dyDescent="0.25">
      <c r="A74" s="258"/>
      <c r="B74" s="459"/>
      <c r="C74" s="459"/>
      <c r="D74" s="435" t="s">
        <v>264</v>
      </c>
      <c r="E74" s="435"/>
      <c r="F74" s="441" t="s">
        <v>264</v>
      </c>
      <c r="G74" s="92"/>
      <c r="H74" s="100"/>
      <c r="I74" s="100"/>
      <c r="J74" s="100"/>
      <c r="K74" s="100"/>
      <c r="L74" s="92"/>
      <c r="M74" s="100"/>
      <c r="N74" s="100"/>
      <c r="O74" s="100"/>
      <c r="P74" s="100"/>
      <c r="Q74" s="92"/>
      <c r="R74" s="100"/>
      <c r="S74" s="100"/>
      <c r="T74" s="100"/>
      <c r="U74" s="100"/>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row>
    <row r="75" spans="1:53" ht="15.75" customHeight="1" x14ac:dyDescent="0.25">
      <c r="A75" s="258"/>
      <c r="B75" s="459"/>
      <c r="C75" s="459"/>
      <c r="D75" s="435"/>
      <c r="E75" s="435"/>
      <c r="F75" s="441"/>
      <c r="G75" s="101" t="s">
        <v>226</v>
      </c>
      <c r="H75" s="101" t="s">
        <v>226</v>
      </c>
      <c r="I75" s="101" t="s">
        <v>226</v>
      </c>
      <c r="J75" s="101" t="s">
        <v>226</v>
      </c>
      <c r="K75" s="101" t="s">
        <v>226</v>
      </c>
      <c r="L75" s="101" t="s">
        <v>226</v>
      </c>
      <c r="M75" s="101" t="s">
        <v>226</v>
      </c>
      <c r="N75" s="101" t="s">
        <v>226</v>
      </c>
      <c r="O75" s="101" t="s">
        <v>226</v>
      </c>
      <c r="P75" s="101" t="s">
        <v>226</v>
      </c>
      <c r="Q75" s="101" t="s">
        <v>226</v>
      </c>
      <c r="R75" s="101" t="s">
        <v>226</v>
      </c>
      <c r="S75" s="101" t="s">
        <v>226</v>
      </c>
      <c r="T75" s="101" t="s">
        <v>226</v>
      </c>
      <c r="U75" s="101" t="s">
        <v>226</v>
      </c>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row>
    <row r="76" spans="1:53" ht="15.75" customHeight="1" x14ac:dyDescent="0.25">
      <c r="A76" s="258"/>
      <c r="B76" s="459"/>
      <c r="C76" s="459"/>
      <c r="D76" s="435" t="s">
        <v>264</v>
      </c>
      <c r="E76" s="435"/>
      <c r="F76" s="441" t="s">
        <v>264</v>
      </c>
      <c r="G76" s="92"/>
      <c r="H76" s="100"/>
      <c r="I76" s="100"/>
      <c r="J76" s="100"/>
      <c r="K76" s="100"/>
      <c r="L76" s="92"/>
      <c r="M76" s="100"/>
      <c r="N76" s="100"/>
      <c r="O76" s="100"/>
      <c r="P76" s="100"/>
      <c r="Q76" s="92"/>
      <c r="R76" s="100"/>
      <c r="S76" s="100"/>
      <c r="T76" s="100"/>
      <c r="U76" s="100"/>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row>
    <row r="77" spans="1:53" ht="16.5" customHeight="1" x14ac:dyDescent="0.25">
      <c r="A77" s="258"/>
      <c r="B77" s="459"/>
      <c r="C77" s="459"/>
      <c r="D77" s="435"/>
      <c r="E77" s="435"/>
      <c r="F77" s="441"/>
      <c r="G77" s="101" t="s">
        <v>226</v>
      </c>
      <c r="H77" s="101" t="s">
        <v>226</v>
      </c>
      <c r="I77" s="101" t="s">
        <v>226</v>
      </c>
      <c r="J77" s="101" t="s">
        <v>226</v>
      </c>
      <c r="K77" s="101" t="s">
        <v>226</v>
      </c>
      <c r="L77" s="101" t="s">
        <v>226</v>
      </c>
      <c r="M77" s="101" t="s">
        <v>226</v>
      </c>
      <c r="N77" s="101" t="s">
        <v>226</v>
      </c>
      <c r="O77" s="101" t="s">
        <v>226</v>
      </c>
      <c r="P77" s="101" t="s">
        <v>226</v>
      </c>
      <c r="Q77" s="101" t="s">
        <v>226</v>
      </c>
      <c r="R77" s="101" t="s">
        <v>226</v>
      </c>
      <c r="S77" s="101" t="s">
        <v>226</v>
      </c>
      <c r="T77" s="101" t="s">
        <v>226</v>
      </c>
      <c r="U77" s="101" t="s">
        <v>226</v>
      </c>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row>
    <row r="78" spans="1:53" ht="40.5" customHeight="1" x14ac:dyDescent="0.25">
      <c r="A78" s="258"/>
      <c r="B78" s="366" t="s">
        <v>273</v>
      </c>
      <c r="C78" s="366"/>
      <c r="D78" s="363" t="s">
        <v>274</v>
      </c>
      <c r="E78" s="364"/>
      <c r="F78" s="364"/>
      <c r="G78" s="364"/>
      <c r="H78" s="364"/>
      <c r="I78" s="364"/>
      <c r="J78" s="364"/>
      <c r="K78" s="364"/>
      <c r="L78" s="364"/>
      <c r="M78" s="364"/>
      <c r="N78" s="364"/>
      <c r="O78" s="364"/>
      <c r="P78" s="364"/>
      <c r="Q78" s="364"/>
      <c r="R78" s="364"/>
      <c r="S78" s="364"/>
      <c r="T78" s="364"/>
      <c r="U78" s="365"/>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BA78" s="105" t="str">
        <f>D78</f>
        <v>Explain here (e.g. emission factors if calculated)</v>
      </c>
    </row>
    <row r="79" spans="1:53" ht="21" customHeight="1" x14ac:dyDescent="0.25">
      <c r="A79" s="258"/>
      <c r="B79" s="450" t="s">
        <v>7</v>
      </c>
      <c r="C79" s="451"/>
      <c r="D79" s="451"/>
      <c r="E79" s="451"/>
      <c r="F79" s="451"/>
      <c r="G79" s="451"/>
      <c r="H79" s="451"/>
      <c r="I79" s="451"/>
      <c r="J79" s="451"/>
      <c r="K79" s="451"/>
      <c r="L79" s="451"/>
      <c r="M79" s="451"/>
      <c r="N79" s="451"/>
      <c r="O79" s="451"/>
      <c r="P79" s="451"/>
      <c r="Q79" s="451"/>
      <c r="R79" s="451"/>
      <c r="S79" s="451"/>
      <c r="T79" s="451"/>
      <c r="U79" s="452"/>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row>
    <row r="80" spans="1:53" ht="15.75" customHeight="1" x14ac:dyDescent="0.25">
      <c r="A80" s="258"/>
      <c r="B80" s="423" t="s">
        <v>275</v>
      </c>
      <c r="C80" s="424"/>
      <c r="D80" s="453" t="s">
        <v>0</v>
      </c>
      <c r="E80" s="454"/>
      <c r="F80" s="455"/>
      <c r="G80" s="376" t="s">
        <v>228</v>
      </c>
      <c r="H80" s="376"/>
      <c r="I80" s="376"/>
      <c r="J80" s="376"/>
      <c r="K80" s="376"/>
      <c r="L80" s="375">
        <v>2030</v>
      </c>
      <c r="M80" s="375"/>
      <c r="N80" s="375"/>
      <c r="O80" s="375"/>
      <c r="P80" s="375"/>
      <c r="Q80" s="376">
        <v>2050</v>
      </c>
      <c r="R80" s="376"/>
      <c r="S80" s="376"/>
      <c r="T80" s="376"/>
      <c r="U80" s="376"/>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row>
    <row r="81" spans="1:53" x14ac:dyDescent="0.25">
      <c r="A81" s="258"/>
      <c r="B81" s="425"/>
      <c r="C81" s="426"/>
      <c r="D81" s="456"/>
      <c r="E81" s="457"/>
      <c r="F81" s="458"/>
      <c r="G81" s="277" t="s">
        <v>219</v>
      </c>
      <c r="H81" s="277" t="s">
        <v>220</v>
      </c>
      <c r="I81" s="277" t="s">
        <v>221</v>
      </c>
      <c r="J81" s="277" t="s">
        <v>222</v>
      </c>
      <c r="K81" s="277" t="s">
        <v>223</v>
      </c>
      <c r="L81" s="278" t="s">
        <v>219</v>
      </c>
      <c r="M81" s="278" t="s">
        <v>220</v>
      </c>
      <c r="N81" s="278" t="s">
        <v>221</v>
      </c>
      <c r="O81" s="278" t="s">
        <v>222</v>
      </c>
      <c r="P81" s="278" t="s">
        <v>223</v>
      </c>
      <c r="Q81" s="277" t="s">
        <v>219</v>
      </c>
      <c r="R81" s="277" t="s">
        <v>220</v>
      </c>
      <c r="S81" s="277" t="s">
        <v>221</v>
      </c>
      <c r="T81" s="277" t="s">
        <v>222</v>
      </c>
      <c r="U81" s="277" t="s">
        <v>223</v>
      </c>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row>
    <row r="82" spans="1:53" x14ac:dyDescent="0.25">
      <c r="A82" s="258"/>
      <c r="B82" s="460" t="s">
        <v>276</v>
      </c>
      <c r="C82" s="461"/>
      <c r="D82" s="399" t="s">
        <v>242</v>
      </c>
      <c r="E82" s="399"/>
      <c r="F82" s="399"/>
      <c r="G82" s="92"/>
      <c r="H82" s="100"/>
      <c r="I82" s="100"/>
      <c r="J82" s="100"/>
      <c r="K82" s="100"/>
      <c r="L82" s="92"/>
      <c r="M82" s="100"/>
      <c r="N82" s="100"/>
      <c r="O82" s="100"/>
      <c r="P82" s="100"/>
      <c r="Q82" s="92"/>
      <c r="R82" s="100"/>
      <c r="S82" s="100"/>
      <c r="T82" s="100"/>
      <c r="U82" s="100"/>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row>
    <row r="83" spans="1:53" x14ac:dyDescent="0.25">
      <c r="A83" s="258"/>
      <c r="B83" s="462"/>
      <c r="C83" s="463"/>
      <c r="D83" s="399"/>
      <c r="E83" s="399"/>
      <c r="F83" s="399"/>
      <c r="G83" s="102" t="s">
        <v>226</v>
      </c>
      <c r="H83" s="101" t="s">
        <v>226</v>
      </c>
      <c r="I83" s="101" t="s">
        <v>226</v>
      </c>
      <c r="J83" s="101" t="s">
        <v>226</v>
      </c>
      <c r="K83" s="101" t="s">
        <v>226</v>
      </c>
      <c r="L83" s="102" t="s">
        <v>226</v>
      </c>
      <c r="M83" s="101" t="s">
        <v>226</v>
      </c>
      <c r="N83" s="101" t="s">
        <v>226</v>
      </c>
      <c r="O83" s="101" t="s">
        <v>226</v>
      </c>
      <c r="P83" s="101" t="s">
        <v>226</v>
      </c>
      <c r="Q83" s="102" t="s">
        <v>226</v>
      </c>
      <c r="R83" s="101" t="s">
        <v>226</v>
      </c>
      <c r="S83" s="101" t="s">
        <v>226</v>
      </c>
      <c r="T83" s="101" t="s">
        <v>226</v>
      </c>
      <c r="U83" s="101" t="s">
        <v>226</v>
      </c>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row>
    <row r="84" spans="1:53" x14ac:dyDescent="0.25">
      <c r="A84" s="258"/>
      <c r="B84" s="460" t="s">
        <v>276</v>
      </c>
      <c r="C84" s="461"/>
      <c r="D84" s="399" t="s">
        <v>242</v>
      </c>
      <c r="E84" s="399"/>
      <c r="F84" s="399"/>
      <c r="G84" s="92"/>
      <c r="H84" s="100"/>
      <c r="I84" s="100"/>
      <c r="J84" s="100"/>
      <c r="K84" s="100"/>
      <c r="L84" s="92"/>
      <c r="M84" s="100"/>
      <c r="N84" s="100"/>
      <c r="O84" s="100"/>
      <c r="P84" s="100"/>
      <c r="Q84" s="92"/>
      <c r="R84" s="100"/>
      <c r="S84" s="100"/>
      <c r="T84" s="100"/>
      <c r="U84" s="100"/>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row>
    <row r="85" spans="1:53" x14ac:dyDescent="0.25">
      <c r="A85" s="258"/>
      <c r="B85" s="462"/>
      <c r="C85" s="463"/>
      <c r="D85" s="399"/>
      <c r="E85" s="399"/>
      <c r="F85" s="399"/>
      <c r="G85" s="101" t="s">
        <v>226</v>
      </c>
      <c r="H85" s="101" t="s">
        <v>226</v>
      </c>
      <c r="I85" s="101" t="s">
        <v>226</v>
      </c>
      <c r="J85" s="101" t="s">
        <v>226</v>
      </c>
      <c r="K85" s="101" t="s">
        <v>226</v>
      </c>
      <c r="L85" s="101" t="s">
        <v>226</v>
      </c>
      <c r="M85" s="101" t="s">
        <v>226</v>
      </c>
      <c r="N85" s="101" t="s">
        <v>226</v>
      </c>
      <c r="O85" s="101" t="s">
        <v>226</v>
      </c>
      <c r="P85" s="101" t="s">
        <v>226</v>
      </c>
      <c r="Q85" s="101" t="s">
        <v>226</v>
      </c>
      <c r="R85" s="101" t="s">
        <v>226</v>
      </c>
      <c r="S85" s="101" t="s">
        <v>226</v>
      </c>
      <c r="T85" s="101" t="s">
        <v>226</v>
      </c>
      <c r="U85" s="101" t="s">
        <v>226</v>
      </c>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row>
    <row r="86" spans="1:53" x14ac:dyDescent="0.25">
      <c r="A86" s="258"/>
      <c r="B86" s="460" t="s">
        <v>276</v>
      </c>
      <c r="C86" s="461"/>
      <c r="D86" s="399" t="s">
        <v>242</v>
      </c>
      <c r="E86" s="399"/>
      <c r="F86" s="399"/>
      <c r="G86" s="92"/>
      <c r="H86" s="100"/>
      <c r="I86" s="100"/>
      <c r="J86" s="100"/>
      <c r="K86" s="100"/>
      <c r="L86" s="92"/>
      <c r="M86" s="100"/>
      <c r="N86" s="100"/>
      <c r="O86" s="100"/>
      <c r="P86" s="100"/>
      <c r="Q86" s="92"/>
      <c r="R86" s="100"/>
      <c r="S86" s="100"/>
      <c r="T86" s="100"/>
      <c r="U86" s="100"/>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row>
    <row r="87" spans="1:53" x14ac:dyDescent="0.25">
      <c r="A87" s="258"/>
      <c r="B87" s="462"/>
      <c r="C87" s="463"/>
      <c r="D87" s="399"/>
      <c r="E87" s="399"/>
      <c r="F87" s="399"/>
      <c r="G87" s="101" t="s">
        <v>226</v>
      </c>
      <c r="H87" s="101" t="s">
        <v>226</v>
      </c>
      <c r="I87" s="101" t="s">
        <v>226</v>
      </c>
      <c r="J87" s="101" t="s">
        <v>226</v>
      </c>
      <c r="K87" s="101" t="s">
        <v>226</v>
      </c>
      <c r="L87" s="101" t="s">
        <v>226</v>
      </c>
      <c r="M87" s="101" t="s">
        <v>226</v>
      </c>
      <c r="N87" s="101" t="s">
        <v>226</v>
      </c>
      <c r="O87" s="101" t="s">
        <v>226</v>
      </c>
      <c r="P87" s="101" t="s">
        <v>226</v>
      </c>
      <c r="Q87" s="101" t="s">
        <v>226</v>
      </c>
      <c r="R87" s="101" t="s">
        <v>226</v>
      </c>
      <c r="S87" s="101" t="s">
        <v>226</v>
      </c>
      <c r="T87" s="101" t="s">
        <v>226</v>
      </c>
      <c r="U87" s="101" t="s">
        <v>226</v>
      </c>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row>
    <row r="88" spans="1:53" x14ac:dyDescent="0.25">
      <c r="A88" s="258"/>
      <c r="B88" s="460" t="s">
        <v>276</v>
      </c>
      <c r="C88" s="461"/>
      <c r="D88" s="399" t="s">
        <v>242</v>
      </c>
      <c r="E88" s="399"/>
      <c r="F88" s="399"/>
      <c r="G88" s="92"/>
      <c r="H88" s="100"/>
      <c r="I88" s="100"/>
      <c r="J88" s="100"/>
      <c r="K88" s="100"/>
      <c r="L88" s="92"/>
      <c r="M88" s="100"/>
      <c r="N88" s="100"/>
      <c r="O88" s="100"/>
      <c r="P88" s="100"/>
      <c r="Q88" s="92"/>
      <c r="R88" s="100"/>
      <c r="S88" s="100"/>
      <c r="T88" s="100"/>
      <c r="U88" s="100"/>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row>
    <row r="89" spans="1:53" x14ac:dyDescent="0.25">
      <c r="A89" s="258"/>
      <c r="B89" s="462"/>
      <c r="C89" s="463"/>
      <c r="D89" s="399"/>
      <c r="E89" s="399"/>
      <c r="F89" s="399"/>
      <c r="G89" s="101" t="s">
        <v>226</v>
      </c>
      <c r="H89" s="101" t="s">
        <v>226</v>
      </c>
      <c r="I89" s="101" t="s">
        <v>226</v>
      </c>
      <c r="J89" s="101" t="s">
        <v>226</v>
      </c>
      <c r="K89" s="101" t="s">
        <v>226</v>
      </c>
      <c r="L89" s="101" t="s">
        <v>226</v>
      </c>
      <c r="M89" s="101" t="s">
        <v>226</v>
      </c>
      <c r="N89" s="101" t="s">
        <v>226</v>
      </c>
      <c r="O89" s="101" t="s">
        <v>226</v>
      </c>
      <c r="P89" s="101" t="s">
        <v>226</v>
      </c>
      <c r="Q89" s="101" t="s">
        <v>226</v>
      </c>
      <c r="R89" s="101" t="s">
        <v>226</v>
      </c>
      <c r="S89" s="101" t="s">
        <v>226</v>
      </c>
      <c r="T89" s="101" t="s">
        <v>226</v>
      </c>
      <c r="U89" s="101" t="s">
        <v>226</v>
      </c>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row>
    <row r="90" spans="1:53" ht="36.75" customHeight="1" x14ac:dyDescent="0.25">
      <c r="A90" s="258"/>
      <c r="B90" s="366" t="s">
        <v>277</v>
      </c>
      <c r="C90" s="366"/>
      <c r="D90" s="363" t="s">
        <v>270</v>
      </c>
      <c r="E90" s="364"/>
      <c r="F90" s="364"/>
      <c r="G90" s="364"/>
      <c r="H90" s="364"/>
      <c r="I90" s="364"/>
      <c r="J90" s="364"/>
      <c r="K90" s="364"/>
      <c r="L90" s="364"/>
      <c r="M90" s="364"/>
      <c r="N90" s="364"/>
      <c r="O90" s="364"/>
      <c r="P90" s="364"/>
      <c r="Q90" s="364"/>
      <c r="R90" s="364"/>
      <c r="S90" s="364"/>
      <c r="T90" s="364"/>
      <c r="U90" s="365"/>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row>
    <row r="91" spans="1:53" ht="21" customHeight="1" x14ac:dyDescent="0.25">
      <c r="A91" s="258"/>
      <c r="B91" s="450" t="s">
        <v>152</v>
      </c>
      <c r="C91" s="451"/>
      <c r="D91" s="451"/>
      <c r="E91" s="451"/>
      <c r="F91" s="451"/>
      <c r="G91" s="451"/>
      <c r="H91" s="451"/>
      <c r="I91" s="451"/>
      <c r="J91" s="451"/>
      <c r="K91" s="451"/>
      <c r="L91" s="451"/>
      <c r="M91" s="451"/>
      <c r="N91" s="451"/>
      <c r="O91" s="451"/>
      <c r="P91" s="451"/>
      <c r="Q91" s="451"/>
      <c r="R91" s="451"/>
      <c r="S91" s="451"/>
      <c r="T91" s="451"/>
      <c r="U91" s="452"/>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row>
    <row r="92" spans="1:53" ht="15" customHeight="1" x14ac:dyDescent="0.25">
      <c r="A92" s="258"/>
      <c r="B92" s="80">
        <v>1</v>
      </c>
      <c r="C92" s="464" t="s">
        <v>278</v>
      </c>
      <c r="D92" s="465"/>
      <c r="E92" s="465"/>
      <c r="F92" s="465"/>
      <c r="G92" s="465"/>
      <c r="H92" s="465"/>
      <c r="I92" s="465"/>
      <c r="J92" s="465"/>
      <c r="K92" s="465"/>
      <c r="L92" s="465"/>
      <c r="M92" s="465"/>
      <c r="N92" s="465"/>
      <c r="O92" s="465"/>
      <c r="P92" s="465"/>
      <c r="Q92" s="465"/>
      <c r="R92" s="465"/>
      <c r="S92" s="465"/>
      <c r="T92" s="465"/>
      <c r="U92" s="466"/>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BA92" s="105" t="str">
        <f>C92</f>
        <v>CBS 2021, Hernieuwbare elektriciteit; productie en vermogen, 2021 , https://www.cbs.nl/nl-nl/cijfers/detail/82610NED</v>
      </c>
    </row>
    <row r="93" spans="1:53" ht="15" customHeight="1" x14ac:dyDescent="0.25">
      <c r="A93" s="258"/>
      <c r="B93" s="80">
        <v>2</v>
      </c>
      <c r="C93" s="464" t="s">
        <v>279</v>
      </c>
      <c r="D93" s="465"/>
      <c r="E93" s="465"/>
      <c r="F93" s="465"/>
      <c r="G93" s="465"/>
      <c r="H93" s="465"/>
      <c r="I93" s="465"/>
      <c r="J93" s="465"/>
      <c r="K93" s="465"/>
      <c r="L93" s="465"/>
      <c r="M93" s="465"/>
      <c r="N93" s="465"/>
      <c r="O93" s="465"/>
      <c r="P93" s="465"/>
      <c r="Q93" s="465"/>
      <c r="R93" s="465"/>
      <c r="S93" s="465"/>
      <c r="T93" s="465"/>
      <c r="U93" s="466"/>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BA93" s="105" t="str">
        <f t="shared" ref="BA93:BA108" si="0">C93</f>
        <v>Global Wind Report 2021, GWEC, 2021, https://gwec.net/global-wind-report-2021</v>
      </c>
    </row>
    <row r="94" spans="1:53" ht="15" customHeight="1" x14ac:dyDescent="0.25">
      <c r="A94" s="258"/>
      <c r="B94" s="80">
        <v>3</v>
      </c>
      <c r="C94" s="464" t="s">
        <v>280</v>
      </c>
      <c r="D94" s="465"/>
      <c r="E94" s="465"/>
      <c r="F94" s="465"/>
      <c r="G94" s="465"/>
      <c r="H94" s="465"/>
      <c r="I94" s="465"/>
      <c r="J94" s="465"/>
      <c r="K94" s="465"/>
      <c r="L94" s="465"/>
      <c r="M94" s="465"/>
      <c r="N94" s="465"/>
      <c r="O94" s="465"/>
      <c r="P94" s="465"/>
      <c r="Q94" s="465"/>
      <c r="R94" s="465"/>
      <c r="S94" s="465"/>
      <c r="T94" s="465"/>
      <c r="U94" s="466"/>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BA94" s="105" t="str">
        <f t="shared" si="0"/>
        <v>JRC 2018, Cost development of low carbon energy technologies: Scenario-based cost trajectories to 2050, 2017 edition, Tsiropoulos, I., Tarvydas, D. and Zucker, A., https://publications.jrc.ec.europa.eu/repository/handle/JRC109894</v>
      </c>
    </row>
    <row r="95" spans="1:53" ht="15" customHeight="1" x14ac:dyDescent="0.25">
      <c r="A95" s="258"/>
      <c r="B95" s="80">
        <v>4</v>
      </c>
      <c r="C95" s="464" t="s">
        <v>281</v>
      </c>
      <c r="D95" s="465"/>
      <c r="E95" s="465"/>
      <c r="F95" s="465"/>
      <c r="G95" s="465"/>
      <c r="H95" s="465"/>
      <c r="I95" s="465"/>
      <c r="J95" s="465"/>
      <c r="K95" s="465"/>
      <c r="L95" s="465"/>
      <c r="M95" s="465"/>
      <c r="N95" s="465"/>
      <c r="O95" s="465"/>
      <c r="P95" s="465"/>
      <c r="Q95" s="465"/>
      <c r="R95" s="465"/>
      <c r="S95" s="465"/>
      <c r="T95" s="465"/>
      <c r="U95" s="466"/>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BA95" s="105" t="str">
        <f t="shared" si="0"/>
        <v>Quintel 2019, RES-regio's in het Energietransitiemodel, https://quintel.com/res (sourced August 2019)</v>
      </c>
    </row>
    <row r="96" spans="1:53" ht="15" customHeight="1" x14ac:dyDescent="0.25">
      <c r="A96" s="258"/>
      <c r="B96" s="80">
        <v>5</v>
      </c>
      <c r="C96" s="464" t="s">
        <v>282</v>
      </c>
      <c r="D96" s="465"/>
      <c r="E96" s="465"/>
      <c r="F96" s="465"/>
      <c r="G96" s="465"/>
      <c r="H96" s="465"/>
      <c r="I96" s="465"/>
      <c r="J96" s="465"/>
      <c r="K96" s="465"/>
      <c r="L96" s="465"/>
      <c r="M96" s="465"/>
      <c r="N96" s="465"/>
      <c r="O96" s="465"/>
      <c r="P96" s="465"/>
      <c r="Q96" s="465"/>
      <c r="R96" s="465"/>
      <c r="S96" s="465"/>
      <c r="T96" s="465"/>
      <c r="U96" s="466"/>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BA96" s="105" t="str">
        <f t="shared" si="0"/>
        <v>Gasunie (2018), Verkenning 2050, Gasunie, 2018, https://www.gasunie.nl/expertise/aardgas/energiemix-2050</v>
      </c>
    </row>
    <row r="97" spans="1:53" ht="15" customHeight="1" x14ac:dyDescent="0.25">
      <c r="A97" s="258"/>
      <c r="B97" s="80">
        <v>6</v>
      </c>
      <c r="C97" s="464" t="s">
        <v>283</v>
      </c>
      <c r="D97" s="465"/>
      <c r="E97" s="465"/>
      <c r="F97" s="465"/>
      <c r="G97" s="465"/>
      <c r="H97" s="465"/>
      <c r="I97" s="465"/>
      <c r="J97" s="465"/>
      <c r="K97" s="465"/>
      <c r="L97" s="465"/>
      <c r="M97" s="465"/>
      <c r="N97" s="465"/>
      <c r="O97" s="465"/>
      <c r="P97" s="465"/>
      <c r="Q97" s="465"/>
      <c r="R97" s="465"/>
      <c r="S97" s="465"/>
      <c r="T97" s="465"/>
      <c r="U97" s="466"/>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BA97" s="105" t="str">
        <f t="shared" si="0"/>
        <v xml:space="preserve">CE Delft (2017), Net voor de Toekomst, 2017, https://ce.nl/publicaties/net-voor-de-toekomst </v>
      </c>
    </row>
    <row r="98" spans="1:53" ht="16.5" customHeight="1" x14ac:dyDescent="0.25">
      <c r="A98" s="258"/>
      <c r="B98" s="80">
        <v>7</v>
      </c>
      <c r="C98" s="464" t="s">
        <v>284</v>
      </c>
      <c r="D98" s="465"/>
      <c r="E98" s="465"/>
      <c r="F98" s="465"/>
      <c r="G98" s="465"/>
      <c r="H98" s="465"/>
      <c r="I98" s="465"/>
      <c r="J98" s="465"/>
      <c r="K98" s="465"/>
      <c r="L98" s="465"/>
      <c r="M98" s="465"/>
      <c r="N98" s="465"/>
      <c r="O98" s="465"/>
      <c r="P98" s="465"/>
      <c r="Q98" s="465"/>
      <c r="R98" s="465"/>
      <c r="S98" s="465"/>
      <c r="T98" s="465"/>
      <c r="U98" s="466"/>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BA98" s="105" t="str">
        <f t="shared" si="0"/>
        <v>Berenschot (2018), Het ‘warmtescenario’: Beelden van een op warmte gerichte energievoorziening in 2030 en 2050, Scenariostudie ten behoeve van het Klimaatakkoord, Eindrapport, Utrecht, september 2018, https://www.berenschot.nl/media/352kcpid/cases-het_warmtescenario.pdf</v>
      </c>
    </row>
    <row r="99" spans="1:53" ht="15" customHeight="1" x14ac:dyDescent="0.25">
      <c r="A99" s="258"/>
      <c r="B99" s="80">
        <v>8</v>
      </c>
      <c r="C99" s="464" t="s">
        <v>285</v>
      </c>
      <c r="D99" s="465"/>
      <c r="E99" s="465"/>
      <c r="F99" s="465"/>
      <c r="G99" s="465"/>
      <c r="H99" s="465"/>
      <c r="I99" s="465"/>
      <c r="J99" s="465"/>
      <c r="K99" s="465"/>
      <c r="L99" s="465"/>
      <c r="M99" s="465"/>
      <c r="N99" s="465"/>
      <c r="O99" s="465"/>
      <c r="P99" s="465"/>
      <c r="Q99" s="465"/>
      <c r="R99" s="465"/>
      <c r="S99" s="465"/>
      <c r="T99" s="465"/>
      <c r="U99" s="466"/>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BA99" s="105" t="str">
        <f t="shared" si="0"/>
        <v>SER (2013) Energieakkoord voor duurzame groei, SER, 2013 https://www.ser.nl/nl/thema/energie-en-duurzaamheid/energieakkoord</v>
      </c>
    </row>
    <row r="100" spans="1:53" ht="15" customHeight="1" x14ac:dyDescent="0.25">
      <c r="A100" s="258"/>
      <c r="B100" s="80">
        <v>9</v>
      </c>
      <c r="C100" s="464" t="s">
        <v>286</v>
      </c>
      <c r="D100" s="465"/>
      <c r="E100" s="465"/>
      <c r="F100" s="465"/>
      <c r="G100" s="465"/>
      <c r="H100" s="465"/>
      <c r="I100" s="465"/>
      <c r="J100" s="465"/>
      <c r="K100" s="465"/>
      <c r="L100" s="465"/>
      <c r="M100" s="465"/>
      <c r="N100" s="465"/>
      <c r="O100" s="465"/>
      <c r="P100" s="465"/>
      <c r="Q100" s="465"/>
      <c r="R100" s="465"/>
      <c r="S100" s="465"/>
      <c r="T100" s="465"/>
      <c r="U100" s="466"/>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BA100" s="105" t="str">
        <f t="shared" si="0"/>
        <v>RVO (2019), RVO, 2019, https://www.rijksoverheid.nl/documenten/rapporten/2020/06/26/bijlage-monitor-wind-op-land-2019</v>
      </c>
    </row>
    <row r="101" spans="1:53" ht="15" customHeight="1" x14ac:dyDescent="0.25">
      <c r="A101" s="258"/>
      <c r="B101" s="80">
        <v>10</v>
      </c>
      <c r="C101" s="464" t="s">
        <v>287</v>
      </c>
      <c r="D101" s="465"/>
      <c r="E101" s="465"/>
      <c r="F101" s="465"/>
      <c r="G101" s="465"/>
      <c r="H101" s="465"/>
      <c r="I101" s="465"/>
      <c r="J101" s="465"/>
      <c r="K101" s="465"/>
      <c r="L101" s="465"/>
      <c r="M101" s="465"/>
      <c r="N101" s="465"/>
      <c r="O101" s="465"/>
      <c r="P101" s="465"/>
      <c r="Q101" s="465"/>
      <c r="R101" s="465"/>
      <c r="S101" s="465"/>
      <c r="T101" s="465"/>
      <c r="U101" s="466"/>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BA101" s="105" t="str">
        <f t="shared" si="0"/>
        <v>PBL (2021a) Monitor concept-RES, PBL, 2021, https://www.pbl.nl/publicaties/monitor-concept-res</v>
      </c>
    </row>
    <row r="102" spans="1:53" ht="15" customHeight="1" x14ac:dyDescent="0.25">
      <c r="A102" s="258"/>
      <c r="B102" s="80">
        <v>11</v>
      </c>
      <c r="C102" s="464" t="s">
        <v>288</v>
      </c>
      <c r="D102" s="465"/>
      <c r="E102" s="465"/>
      <c r="F102" s="465"/>
      <c r="G102" s="465"/>
      <c r="H102" s="465"/>
      <c r="I102" s="465"/>
      <c r="J102" s="465"/>
      <c r="K102" s="465"/>
      <c r="L102" s="465"/>
      <c r="M102" s="465"/>
      <c r="N102" s="465"/>
      <c r="O102" s="465"/>
      <c r="P102" s="465"/>
      <c r="Q102" s="465"/>
      <c r="R102" s="465"/>
      <c r="S102" s="465"/>
      <c r="T102" s="465"/>
      <c r="U102" s="466"/>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BA102" s="105" t="str">
        <f t="shared" si="0"/>
        <v>RVO (2021), Windkaart windsnelheid per gemeente, RVO, februari 2021, https://www.rvo.nl/sites/default/files/2021/02/Windkaart%20windsnelheid%20per%20gemeente%20versie%20februari%202021.pdf</v>
      </c>
    </row>
    <row r="103" spans="1:53" ht="15" customHeight="1" x14ac:dyDescent="0.25">
      <c r="A103" s="258"/>
      <c r="B103" s="80">
        <v>12</v>
      </c>
      <c r="C103" s="464" t="s">
        <v>289</v>
      </c>
      <c r="D103" s="465"/>
      <c r="E103" s="465"/>
      <c r="F103" s="465"/>
      <c r="G103" s="465"/>
      <c r="H103" s="465"/>
      <c r="I103" s="465"/>
      <c r="J103" s="465"/>
      <c r="K103" s="465"/>
      <c r="L103" s="465"/>
      <c r="M103" s="465"/>
      <c r="N103" s="465"/>
      <c r="O103" s="465"/>
      <c r="P103" s="465"/>
      <c r="Q103" s="465"/>
      <c r="R103" s="465"/>
      <c r="S103" s="465"/>
      <c r="T103" s="465"/>
      <c r="U103" s="466"/>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BA103" s="105" t="str">
        <f t="shared" si="0"/>
        <v xml:space="preserve">WindEurope (2021) Getting fit for 55 and set for 2050, Electrifying Europe with wind energy, ETIP Wind, WindEurope, June 2021, https://etipwind.eu/publications/getting-fit-for-55 </v>
      </c>
    </row>
    <row r="104" spans="1:53" ht="15" customHeight="1" x14ac:dyDescent="0.25">
      <c r="A104" s="258"/>
      <c r="B104" s="80">
        <v>13</v>
      </c>
      <c r="C104" s="464" t="s">
        <v>290</v>
      </c>
      <c r="D104" s="465"/>
      <c r="E104" s="465"/>
      <c r="F104" s="465"/>
      <c r="G104" s="465"/>
      <c r="H104" s="465"/>
      <c r="I104" s="465"/>
      <c r="J104" s="465"/>
      <c r="K104" s="465"/>
      <c r="L104" s="465"/>
      <c r="M104" s="465"/>
      <c r="N104" s="465"/>
      <c r="O104" s="465"/>
      <c r="P104" s="465"/>
      <c r="Q104" s="465"/>
      <c r="R104" s="465"/>
      <c r="S104" s="465"/>
      <c r="T104" s="465"/>
      <c r="U104" s="466"/>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BA104" s="105"/>
    </row>
    <row r="105" spans="1:53" ht="15" customHeight="1" x14ac:dyDescent="0.25">
      <c r="A105" s="258"/>
      <c r="B105" s="80">
        <v>14</v>
      </c>
      <c r="C105" s="254" t="s">
        <v>291</v>
      </c>
      <c r="D105" s="274"/>
      <c r="E105" s="274"/>
      <c r="F105" s="274"/>
      <c r="G105" s="274"/>
      <c r="H105" s="274"/>
      <c r="I105" s="274"/>
      <c r="J105" s="274"/>
      <c r="K105" s="274"/>
      <c r="L105" s="274"/>
      <c r="M105" s="274"/>
      <c r="N105" s="274"/>
      <c r="O105" s="274"/>
      <c r="P105" s="274"/>
      <c r="Q105" s="274"/>
      <c r="R105" s="274"/>
      <c r="S105" s="274"/>
      <c r="T105" s="274"/>
      <c r="U105" s="275"/>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BA105" s="105"/>
    </row>
    <row r="106" spans="1:53" ht="15" customHeight="1" x14ac:dyDescent="0.25">
      <c r="A106" s="258"/>
      <c r="B106" s="80">
        <v>15</v>
      </c>
      <c r="C106" s="254" t="s">
        <v>292</v>
      </c>
      <c r="D106" s="274"/>
      <c r="E106" s="274"/>
      <c r="F106" s="274"/>
      <c r="G106" s="274"/>
      <c r="H106" s="274"/>
      <c r="I106" s="274"/>
      <c r="J106" s="274"/>
      <c r="K106" s="274"/>
      <c r="L106" s="274"/>
      <c r="M106" s="274"/>
      <c r="N106" s="274"/>
      <c r="O106" s="274"/>
      <c r="P106" s="274"/>
      <c r="Q106" s="274"/>
      <c r="R106" s="274"/>
      <c r="S106" s="274"/>
      <c r="T106" s="274"/>
      <c r="U106" s="275"/>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BA106" s="105"/>
    </row>
    <row r="107" spans="1:53" x14ac:dyDescent="0.25">
      <c r="A107" s="258"/>
      <c r="B107" s="80">
        <v>16</v>
      </c>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BA107" s="105" t="str">
        <f>C104</f>
        <v>PBL (2021b) Eindadvies basisbedragen SDE++ 2021, PBL, 2021, https://www.pbl.nl/publicaties/eindadvies-basisbedragen-sde-plus-plus-2021</v>
      </c>
    </row>
    <row r="108" spans="1:53" x14ac:dyDescent="0.25">
      <c r="A108" s="258"/>
      <c r="B108" s="467" t="s">
        <v>293</v>
      </c>
      <c r="C108" s="468" t="s">
        <v>294</v>
      </c>
      <c r="D108" s="468"/>
      <c r="E108" s="468"/>
      <c r="F108" s="468"/>
      <c r="G108" s="468"/>
      <c r="H108" s="468"/>
      <c r="I108" s="468"/>
      <c r="J108" s="468"/>
      <c r="K108" s="468"/>
      <c r="L108" s="468"/>
      <c r="M108" s="468"/>
      <c r="N108" s="468"/>
      <c r="O108" s="468"/>
      <c r="P108" s="468"/>
      <c r="Q108" s="468"/>
      <c r="R108" s="468"/>
      <c r="S108" s="468"/>
      <c r="T108" s="468"/>
      <c r="U108" s="468"/>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BA108" s="105" t="str">
        <f t="shared" si="0"/>
        <v>Add other sources here</v>
      </c>
    </row>
    <row r="109" spans="1:53" x14ac:dyDescent="0.25">
      <c r="A109" s="258"/>
      <c r="B109" s="467"/>
      <c r="C109" s="468"/>
      <c r="D109" s="468"/>
      <c r="E109" s="468"/>
      <c r="F109" s="468"/>
      <c r="G109" s="468"/>
      <c r="H109" s="468"/>
      <c r="I109" s="468"/>
      <c r="J109" s="468"/>
      <c r="K109" s="468"/>
      <c r="L109" s="468"/>
      <c r="M109" s="468"/>
      <c r="N109" s="468"/>
      <c r="O109" s="468"/>
      <c r="P109" s="468"/>
      <c r="Q109" s="468"/>
      <c r="R109" s="468"/>
      <c r="S109" s="468"/>
      <c r="T109" s="468"/>
      <c r="U109" s="468"/>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row>
    <row r="110" spans="1:53" x14ac:dyDescent="0.25">
      <c r="A110" s="258"/>
      <c r="B110" s="467"/>
      <c r="C110" s="468"/>
      <c r="D110" s="468"/>
      <c r="E110" s="468"/>
      <c r="F110" s="468"/>
      <c r="G110" s="468"/>
      <c r="H110" s="468"/>
      <c r="I110" s="468"/>
      <c r="J110" s="468"/>
      <c r="K110" s="468"/>
      <c r="L110" s="468"/>
      <c r="M110" s="468"/>
      <c r="N110" s="468"/>
      <c r="O110" s="468"/>
      <c r="P110" s="468"/>
      <c r="Q110" s="468"/>
      <c r="R110" s="468"/>
      <c r="S110" s="468"/>
      <c r="T110" s="468"/>
      <c r="U110" s="468"/>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row>
    <row r="112" spans="1:53"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row>
    <row r="113" spans="3:3" x14ac:dyDescent="0.25">
      <c r="C113" s="259"/>
    </row>
    <row r="114" spans="3:3" x14ac:dyDescent="0.25">
      <c r="C114" s="259"/>
    </row>
    <row r="115" spans="3:3" x14ac:dyDescent="0.25">
      <c r="C115" s="259"/>
    </row>
    <row r="116" spans="3:3" x14ac:dyDescent="0.25">
      <c r="C116" s="259"/>
    </row>
    <row r="120" spans="3:3" x14ac:dyDescent="0.25">
      <c r="C120" s="259" t="s">
        <v>253</v>
      </c>
    </row>
    <row r="121" spans="3:3" x14ac:dyDescent="0.25">
      <c r="C121" s="259" t="s">
        <v>289</v>
      </c>
    </row>
  </sheetData>
  <dataConsolidate/>
  <mergeCells count="153">
    <mergeCell ref="B108:B110"/>
    <mergeCell ref="C108:U110"/>
    <mergeCell ref="C99:U99"/>
    <mergeCell ref="C100:U100"/>
    <mergeCell ref="C101:U101"/>
    <mergeCell ref="C102:U102"/>
    <mergeCell ref="C103:U103"/>
    <mergeCell ref="C104:U104"/>
    <mergeCell ref="C93:U93"/>
    <mergeCell ref="C94:U94"/>
    <mergeCell ref="C95:U95"/>
    <mergeCell ref="C96:U96"/>
    <mergeCell ref="C97:U97"/>
    <mergeCell ref="C98:U98"/>
    <mergeCell ref="B88:C89"/>
    <mergeCell ref="D88:F89"/>
    <mergeCell ref="B90:C90"/>
    <mergeCell ref="D90:U90"/>
    <mergeCell ref="B91:U91"/>
    <mergeCell ref="C92:U92"/>
    <mergeCell ref="B82:C83"/>
    <mergeCell ref="D82:F83"/>
    <mergeCell ref="B84:C85"/>
    <mergeCell ref="D84:F85"/>
    <mergeCell ref="B86:C87"/>
    <mergeCell ref="D86:F87"/>
    <mergeCell ref="B79:U79"/>
    <mergeCell ref="B80:C81"/>
    <mergeCell ref="D80:F81"/>
    <mergeCell ref="G80:K80"/>
    <mergeCell ref="L80:P80"/>
    <mergeCell ref="Q80:U80"/>
    <mergeCell ref="D74:E75"/>
    <mergeCell ref="F74:F75"/>
    <mergeCell ref="D76:E77"/>
    <mergeCell ref="F76:F77"/>
    <mergeCell ref="B78:C78"/>
    <mergeCell ref="D78:U78"/>
    <mergeCell ref="B68:C77"/>
    <mergeCell ref="D68:E69"/>
    <mergeCell ref="F68:F69"/>
    <mergeCell ref="G68:K68"/>
    <mergeCell ref="L68:P68"/>
    <mergeCell ref="Q68:U68"/>
    <mergeCell ref="D70:E71"/>
    <mergeCell ref="F70:F71"/>
    <mergeCell ref="D72:E73"/>
    <mergeCell ref="F72:F73"/>
    <mergeCell ref="F62:F63"/>
    <mergeCell ref="D64:E65"/>
    <mergeCell ref="F64:F65"/>
    <mergeCell ref="B66:C66"/>
    <mergeCell ref="D66:U66"/>
    <mergeCell ref="B67:U67"/>
    <mergeCell ref="B58:C58"/>
    <mergeCell ref="D58:U58"/>
    <mergeCell ref="B59:U59"/>
    <mergeCell ref="B60:C65"/>
    <mergeCell ref="D60:E61"/>
    <mergeCell ref="F60:F61"/>
    <mergeCell ref="G60:K60"/>
    <mergeCell ref="L60:P60"/>
    <mergeCell ref="Q60:U60"/>
    <mergeCell ref="D62:E63"/>
    <mergeCell ref="B50:C57"/>
    <mergeCell ref="D50:E51"/>
    <mergeCell ref="F50:F51"/>
    <mergeCell ref="D52:E53"/>
    <mergeCell ref="F52:F53"/>
    <mergeCell ref="D54:E55"/>
    <mergeCell ref="F54:F55"/>
    <mergeCell ref="D56:E57"/>
    <mergeCell ref="F56:F57"/>
    <mergeCell ref="B48:C49"/>
    <mergeCell ref="D48:E49"/>
    <mergeCell ref="F48:F49"/>
    <mergeCell ref="G48:K48"/>
    <mergeCell ref="L48:P48"/>
    <mergeCell ref="Q48:U48"/>
    <mergeCell ref="B44:C45"/>
    <mergeCell ref="D44:D45"/>
    <mergeCell ref="E44:F45"/>
    <mergeCell ref="B46:C46"/>
    <mergeCell ref="D46:U46"/>
    <mergeCell ref="B47:U47"/>
    <mergeCell ref="B40:C41"/>
    <mergeCell ref="D40:D41"/>
    <mergeCell ref="E40:F41"/>
    <mergeCell ref="B42:C43"/>
    <mergeCell ref="D42:D43"/>
    <mergeCell ref="E42:F43"/>
    <mergeCell ref="B35:U35"/>
    <mergeCell ref="B36:F37"/>
    <mergeCell ref="G36:K36"/>
    <mergeCell ref="L36:P36"/>
    <mergeCell ref="Q36:U36"/>
    <mergeCell ref="B38:C39"/>
    <mergeCell ref="D38:D39"/>
    <mergeCell ref="E38:F39"/>
    <mergeCell ref="B32:C32"/>
    <mergeCell ref="D32:K32"/>
    <mergeCell ref="B33:C33"/>
    <mergeCell ref="D33:K33"/>
    <mergeCell ref="B34:C34"/>
    <mergeCell ref="D34:K34"/>
    <mergeCell ref="B29:C29"/>
    <mergeCell ref="D29:K29"/>
    <mergeCell ref="B30:C30"/>
    <mergeCell ref="D30:K30"/>
    <mergeCell ref="B31:C31"/>
    <mergeCell ref="D31:K31"/>
    <mergeCell ref="B25:C26"/>
    <mergeCell ref="D25:E26"/>
    <mergeCell ref="F25:F26"/>
    <mergeCell ref="B27:C27"/>
    <mergeCell ref="D27:K27"/>
    <mergeCell ref="B28:C28"/>
    <mergeCell ref="D28:K28"/>
    <mergeCell ref="B21:C21"/>
    <mergeCell ref="D21:E21"/>
    <mergeCell ref="G21:K21"/>
    <mergeCell ref="L21:P21"/>
    <mergeCell ref="Q21:U21"/>
    <mergeCell ref="B22:C24"/>
    <mergeCell ref="D22:E24"/>
    <mergeCell ref="F22:F24"/>
    <mergeCell ref="B15:K15"/>
    <mergeCell ref="B16:C17"/>
    <mergeCell ref="D16:K17"/>
    <mergeCell ref="B18:C18"/>
    <mergeCell ref="D18:F18"/>
    <mergeCell ref="B19:C20"/>
    <mergeCell ref="D19:F20"/>
    <mergeCell ref="B11:C11"/>
    <mergeCell ref="D11:K11"/>
    <mergeCell ref="B12:C12"/>
    <mergeCell ref="D12:K12"/>
    <mergeCell ref="B13:C14"/>
    <mergeCell ref="D13:K13"/>
    <mergeCell ref="D14:K14"/>
    <mergeCell ref="B8:C9"/>
    <mergeCell ref="D8:K8"/>
    <mergeCell ref="O8:Q10"/>
    <mergeCell ref="D9:K9"/>
    <mergeCell ref="B10:C10"/>
    <mergeCell ref="D10:K10"/>
    <mergeCell ref="B4:K4"/>
    <mergeCell ref="B5:C5"/>
    <mergeCell ref="D5:K5"/>
    <mergeCell ref="B6:C6"/>
    <mergeCell ref="D6:K6"/>
    <mergeCell ref="B7:C7"/>
    <mergeCell ref="D7:K7"/>
  </mergeCells>
  <conditionalFormatting sqref="D8">
    <cfRule type="containsText" dxfId="762" priority="177" operator="containsText" text="Please select">
      <formula>NOT(ISERROR(SEARCH("Please select",D8)))</formula>
    </cfRule>
  </conditionalFormatting>
  <conditionalFormatting sqref="D9 L9 N9">
    <cfRule type="containsText" dxfId="761" priority="176" operator="containsText" text="Other (specify here)">
      <formula>NOT(ISERROR(SEARCH("Other (specify here)",D9)))</formula>
    </cfRule>
  </conditionalFormatting>
  <conditionalFormatting sqref="D10">
    <cfRule type="containsText" dxfId="760" priority="175" operator="containsText" text="Please select">
      <formula>NOT(ISERROR(SEARCH("Please select",D10)))</formula>
    </cfRule>
  </conditionalFormatting>
  <conditionalFormatting sqref="L11:N11">
    <cfRule type="containsText" dxfId="759" priority="174" operator="containsText" text="Specify here">
      <formula>NOT(ISERROR(SEARCH("Specify here",L11)))</formula>
    </cfRule>
  </conditionalFormatting>
  <conditionalFormatting sqref="D12 L12:N12">
    <cfRule type="containsText" dxfId="758" priority="173" operator="containsText" text="Specify here">
      <formula>NOT(ISERROR(SEARCH("Specify here",D12)))</formula>
    </cfRule>
  </conditionalFormatting>
  <conditionalFormatting sqref="D6 L6:L7">
    <cfRule type="containsText" dxfId="757" priority="172" operator="containsText" text="DD-MM-YYYY">
      <formula>NOT(ISERROR(SEARCH("DD-MM-YYYY",D6)))</formula>
    </cfRule>
  </conditionalFormatting>
  <conditionalFormatting sqref="D13 L13:O13">
    <cfRule type="containsText" dxfId="756" priority="169" operator="containsText" text="Select the observed or expected TRL level in 2020">
      <formula>NOT(ISERROR(SEARCH("Select the observed or expected TRL level in 2020",D13)))</formula>
    </cfRule>
    <cfRule type="containsText" dxfId="755" priority="171" operator="containsText" text="Specify here the observed or expected TRL level in 2020">
      <formula>NOT(ISERROR(SEARCH("Specify here the observed or expected TRL level in 2020",D13)))</formula>
    </cfRule>
  </conditionalFormatting>
  <conditionalFormatting sqref="L14:O14">
    <cfRule type="containsText" dxfId="754" priority="170" operator="containsText" text="Explain here">
      <formula>NOT(ISERROR(SEARCH("Explain here",L14)))</formula>
    </cfRule>
  </conditionalFormatting>
  <conditionalFormatting sqref="D33 D31">
    <cfRule type="containsText" dxfId="753" priority="168" operator="containsText" text="Please select">
      <formula>NOT(ISERROR(SEARCH("Please select",D31)))</formula>
    </cfRule>
  </conditionalFormatting>
  <conditionalFormatting sqref="D31 L31:O31">
    <cfRule type="containsText" dxfId="752" priority="167" operator="containsText" text="Specify here">
      <formula>NOT(ISERROR(SEARCH("Specify here",D31)))</formula>
    </cfRule>
  </conditionalFormatting>
  <conditionalFormatting sqref="L29:O29">
    <cfRule type="containsText" dxfId="751" priority="166" operator="containsText" text="Specify here">
      <formula>NOT(ISERROR(SEARCH("Specify here",L29)))</formula>
    </cfRule>
  </conditionalFormatting>
  <conditionalFormatting sqref="L27:O27 L29:O29">
    <cfRule type="containsText" dxfId="750" priority="165" operator="containsText" text="Specify here">
      <formula>NOT(ISERROR(SEARCH("Specify here",L27)))</formula>
    </cfRule>
  </conditionalFormatting>
  <conditionalFormatting sqref="L32:O32">
    <cfRule type="containsText" dxfId="749" priority="164" operator="containsText" text="Specify here">
      <formula>NOT(ISERROR(SEARCH("Specify here",L32)))</formula>
    </cfRule>
  </conditionalFormatting>
  <conditionalFormatting sqref="D34">
    <cfRule type="containsText" dxfId="748" priority="163"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
    <cfRule type="containsText" dxfId="747" priority="162" operator="containsText" text="Specify technology option name here">
      <formula>NOT(ISERROR(SEARCH("Specify technology option name here",L5)))</formula>
    </cfRule>
  </conditionalFormatting>
  <conditionalFormatting sqref="D19">
    <cfRule type="containsText" dxfId="746" priority="161" operator="containsText" text="Select Functional Unit above">
      <formula>NOT(ISERROR(SEARCH("Select Functional Unit above",D19)))</formula>
    </cfRule>
  </conditionalFormatting>
  <conditionalFormatting sqref="D50">
    <cfRule type="containsText" dxfId="745" priority="159" operator="containsText" text="Select">
      <formula>NOT(ISERROR(SEARCH("Select",D50)))</formula>
    </cfRule>
  </conditionalFormatting>
  <conditionalFormatting sqref="D46">
    <cfRule type="containsText" dxfId="744" priority="160" operator="containsText" text="Explain here (e.g. other costs)">
      <formula>NOT(ISERROR(SEARCH("Explain here (e.g. other costs)",D46)))</formula>
    </cfRule>
  </conditionalFormatting>
  <conditionalFormatting sqref="D72">
    <cfRule type="containsText" dxfId="743" priority="150" operator="containsText" text="Select">
      <formula>NOT(ISERROR(SEARCH("Select",D72)))</formula>
    </cfRule>
  </conditionalFormatting>
  <conditionalFormatting sqref="D74">
    <cfRule type="containsText" dxfId="742" priority="149" operator="containsText" text="Select">
      <formula>NOT(ISERROR(SEARCH("Select",D74)))</formula>
    </cfRule>
  </conditionalFormatting>
  <conditionalFormatting sqref="D52">
    <cfRule type="containsText" dxfId="741" priority="158" operator="containsText" text="Select">
      <formula>NOT(ISERROR(SEARCH("Select",D52)))</formula>
    </cfRule>
  </conditionalFormatting>
  <conditionalFormatting sqref="D76">
    <cfRule type="containsText" dxfId="740" priority="148" operator="containsText" text="Select">
      <formula>NOT(ISERROR(SEARCH("Select",D76)))</formula>
    </cfRule>
  </conditionalFormatting>
  <conditionalFormatting sqref="D54">
    <cfRule type="containsText" dxfId="739" priority="157" operator="containsText" text="Select">
      <formula>NOT(ISERROR(SEARCH("Select",D54)))</formula>
    </cfRule>
  </conditionalFormatting>
  <conditionalFormatting sqref="D56">
    <cfRule type="containsText" dxfId="738" priority="156" operator="containsText" text="Select">
      <formula>NOT(ISERROR(SEARCH("Select",D56)))</formula>
    </cfRule>
  </conditionalFormatting>
  <conditionalFormatting sqref="F50:F57">
    <cfRule type="containsText" dxfId="737" priority="155" operator="containsText" text="Please select">
      <formula>NOT(ISERROR(SEARCH("Please select",F50)))</formula>
    </cfRule>
  </conditionalFormatting>
  <conditionalFormatting sqref="D58">
    <cfRule type="containsText" dxfId="736" priority="154" operator="containsText" text="Explain here (e.g. flexible in and out)">
      <formula>NOT(ISERROR(SEARCH("Explain here (e.g. flexible in and out)",D58)))</formula>
    </cfRule>
  </conditionalFormatting>
  <conditionalFormatting sqref="D62">
    <cfRule type="containsText" dxfId="735" priority="153" operator="containsText" text="Select">
      <formula>NOT(ISERROR(SEARCH("Select",D62)))</formula>
    </cfRule>
  </conditionalFormatting>
  <conditionalFormatting sqref="D66">
    <cfRule type="containsText" dxfId="734" priority="152" operator="containsText" text="Explain here">
      <formula>NOT(ISERROR(SEARCH("Explain here",D66)))</formula>
    </cfRule>
  </conditionalFormatting>
  <conditionalFormatting sqref="D70">
    <cfRule type="containsText" dxfId="733" priority="151" operator="containsText" text="Select">
      <formula>NOT(ISERROR(SEARCH("Select",D70)))</formula>
    </cfRule>
  </conditionalFormatting>
  <conditionalFormatting sqref="F70:F77">
    <cfRule type="containsText" dxfId="732" priority="147" operator="containsText" text="Please select">
      <formula>NOT(ISERROR(SEARCH("Please select",F70)))</formula>
    </cfRule>
  </conditionalFormatting>
  <conditionalFormatting sqref="D78">
    <cfRule type="containsText" dxfId="731" priority="146" operator="containsText" text="Explain here">
      <formula>NOT(ISERROR(SEARCH("Explain here",D78)))</formula>
    </cfRule>
  </conditionalFormatting>
  <conditionalFormatting sqref="D82">
    <cfRule type="containsText" dxfId="730" priority="145" operator="containsText" text="Specify here">
      <formula>NOT(ISERROR(SEARCH("Specify here",D82)))</formula>
    </cfRule>
  </conditionalFormatting>
  <conditionalFormatting sqref="B92 B94:B106">
    <cfRule type="containsText" dxfId="729" priority="144" operator="containsText" text="Specify data sources and references here">
      <formula>NOT(ISERROR(SEARCH("Specify data sources and references here",B92)))</formula>
    </cfRule>
  </conditionalFormatting>
  <conditionalFormatting sqref="D27">
    <cfRule type="containsText" dxfId="728" priority="143" operator="containsText" text="Specify here (if not specified, value will be 1)">
      <formula>NOT(ISERROR(SEARCH("Specify here (if not specified, value will be 1)",D27)))</formula>
    </cfRule>
  </conditionalFormatting>
  <conditionalFormatting sqref="D32">
    <cfRule type="containsText" dxfId="727" priority="142" operator="containsText" text="Please select">
      <formula>NOT(ISERROR(SEARCH("Please select",D32)))</formula>
    </cfRule>
  </conditionalFormatting>
  <conditionalFormatting sqref="D32">
    <cfRule type="containsText" dxfId="726" priority="141" operator="containsText" text="Specify here">
      <formula>NOT(ISERROR(SEARCH("Specify here",D32)))</formula>
    </cfRule>
  </conditionalFormatting>
  <conditionalFormatting sqref="H41:K41 J39:K39 H45:K45 H43:K43">
    <cfRule type="containsText" dxfId="725" priority="140" operator="containsText" text="Reference">
      <formula>NOT(ISERROR(SEARCH("Reference",H39)))</formula>
    </cfRule>
  </conditionalFormatting>
  <conditionalFormatting sqref="L41:P41 M45:P45 L39:P39 M43:P43">
    <cfRule type="containsText" dxfId="724" priority="139" operator="containsText" text="Reference">
      <formula>NOT(ISERROR(SEARCH("Reference",L39)))</formula>
    </cfRule>
  </conditionalFormatting>
  <conditionalFormatting sqref="Q41:U41 R45:U45 Q39:U39 R43:U43">
    <cfRule type="containsText" dxfId="723" priority="138" operator="containsText" text="Reference">
      <formula>NOT(ISERROR(SEARCH("Reference",Q39)))</formula>
    </cfRule>
  </conditionalFormatting>
  <conditionalFormatting sqref="E38">
    <cfRule type="containsText" dxfId="722" priority="137" operator="containsText" text="Please select 'Functional Unit' above">
      <formula>NOT(ISERROR(SEARCH("Please select 'Functional Unit' above",E38)))</formula>
    </cfRule>
  </conditionalFormatting>
  <conditionalFormatting sqref="H53:K53 H55:K55 H57:K57 H51:K51">
    <cfRule type="containsText" dxfId="721" priority="136" operator="containsText" text="Reference">
      <formula>NOT(ISERROR(SEARCH("Reference",H51)))</formula>
    </cfRule>
  </conditionalFormatting>
  <conditionalFormatting sqref="M53:P53 M55:P55 M57:P57 M51:P51">
    <cfRule type="containsText" dxfId="720" priority="135" operator="containsText" text="Reference">
      <formula>NOT(ISERROR(SEARCH("Reference",M51)))</formula>
    </cfRule>
  </conditionalFormatting>
  <conditionalFormatting sqref="R53:U53 R55:U55 R57:U57 R51:U51">
    <cfRule type="containsText" dxfId="719" priority="134" operator="containsText" text="Reference">
      <formula>NOT(ISERROR(SEARCH("Reference",R51)))</formula>
    </cfRule>
  </conditionalFormatting>
  <conditionalFormatting sqref="H73:K73 H75:K75 H77:K77 H71:K71">
    <cfRule type="containsText" dxfId="718" priority="133" operator="containsText" text="Reference">
      <formula>NOT(ISERROR(SEARCH("Reference",H71)))</formula>
    </cfRule>
  </conditionalFormatting>
  <conditionalFormatting sqref="M73:P73 M75:P75 M77:P77 M71:P71">
    <cfRule type="containsText" dxfId="717" priority="132" operator="containsText" text="Reference">
      <formula>NOT(ISERROR(SEARCH("Reference",M71)))</formula>
    </cfRule>
  </conditionalFormatting>
  <conditionalFormatting sqref="R73:U73 R75:U75 R77:U77 R71:U71">
    <cfRule type="containsText" dxfId="716" priority="131" operator="containsText" text="Reference">
      <formula>NOT(ISERROR(SEARCH("Reference",R71)))</formula>
    </cfRule>
  </conditionalFormatting>
  <conditionalFormatting sqref="G65:K65 H63:K63">
    <cfRule type="containsText" dxfId="715" priority="130" operator="containsText" text="Reference">
      <formula>NOT(ISERROR(SEARCH("Reference",G63)))</formula>
    </cfRule>
  </conditionalFormatting>
  <conditionalFormatting sqref="L65:P65 M63:P63">
    <cfRule type="containsText" dxfId="714" priority="129" operator="containsText" text="Reference">
      <formula>NOT(ISERROR(SEARCH("Reference",L63)))</formula>
    </cfRule>
  </conditionalFormatting>
  <conditionalFormatting sqref="Q65:U65 R63:U63">
    <cfRule type="containsText" dxfId="713" priority="128" operator="containsText" text="Reference">
      <formula>NOT(ISERROR(SEARCH("Reference",Q63)))</formula>
    </cfRule>
  </conditionalFormatting>
  <conditionalFormatting sqref="H83:K83">
    <cfRule type="containsText" dxfId="712" priority="127" operator="containsText" text="Reference">
      <formula>NOT(ISERROR(SEARCH("Reference",H83)))</formula>
    </cfRule>
  </conditionalFormatting>
  <conditionalFormatting sqref="M83:P83">
    <cfRule type="containsText" dxfId="711" priority="126" operator="containsText" text="Reference">
      <formula>NOT(ISERROR(SEARCH("Reference",M83)))</formula>
    </cfRule>
  </conditionalFormatting>
  <conditionalFormatting sqref="R83:U83">
    <cfRule type="containsText" dxfId="710" priority="125" operator="containsText" text="Reference">
      <formula>NOT(ISERROR(SEARCH("Reference",R83)))</formula>
    </cfRule>
  </conditionalFormatting>
  <conditionalFormatting sqref="D5">
    <cfRule type="containsText" dxfId="709" priority="124" operator="containsText" text="Please select">
      <formula>NOT(ISERROR(SEARCH("Please select",D5)))</formula>
    </cfRule>
  </conditionalFormatting>
  <conditionalFormatting sqref="D5">
    <cfRule type="containsText" dxfId="708" priority="123" operator="containsText" text="Specify here">
      <formula>NOT(ISERROR(SEARCH("Specify here",D5)))</formula>
    </cfRule>
  </conditionalFormatting>
  <conditionalFormatting sqref="D11">
    <cfRule type="containsText" dxfId="707" priority="122" operator="containsText" text="Please select">
      <formula>NOT(ISERROR(SEARCH("Please select",D11)))</formula>
    </cfRule>
  </conditionalFormatting>
  <conditionalFormatting sqref="D16">
    <cfRule type="containsText" dxfId="706" priority="120" operator="containsText" text="Please select">
      <formula>NOT(ISERROR(SEARCH("Please select",D16)))</formula>
    </cfRule>
    <cfRule type="containsText" dxfId="705" priority="121" operator="containsText" text="Please select 'Functional Unit' above">
      <formula>NOT(ISERROR(SEARCH("Please select 'Functional Unit' above",D16)))</formula>
    </cfRule>
  </conditionalFormatting>
  <conditionalFormatting sqref="D29">
    <cfRule type="containsText" dxfId="704" priority="119" operator="containsText" text="Please select">
      <formula>NOT(ISERROR(SEARCH("Please select",D29)))</formula>
    </cfRule>
  </conditionalFormatting>
  <conditionalFormatting sqref="E40 E42 E44">
    <cfRule type="containsText" dxfId="703" priority="118" operator="containsText" text="Please select 'Functional Unit' above">
      <formula>NOT(ISERROR(SEARCH("Please select 'Functional Unit' above",E40)))</formula>
    </cfRule>
  </conditionalFormatting>
  <conditionalFormatting sqref="G53 G55 G57 G51">
    <cfRule type="containsText" dxfId="702" priority="117" operator="containsText" text="Reference">
      <formula>NOT(ISERROR(SEARCH("Reference",G51)))</formula>
    </cfRule>
  </conditionalFormatting>
  <conditionalFormatting sqref="L53 L55 L57">
    <cfRule type="containsText" dxfId="701" priority="116" operator="containsText" text="Reference">
      <formula>NOT(ISERROR(SEARCH("Reference",L53)))</formula>
    </cfRule>
  </conditionalFormatting>
  <conditionalFormatting sqref="Q53 Q55 Q57">
    <cfRule type="containsText" dxfId="700" priority="115" operator="containsText" text="Reference">
      <formula>NOT(ISERROR(SEARCH("Reference",Q53)))</formula>
    </cfRule>
  </conditionalFormatting>
  <conditionalFormatting sqref="D64">
    <cfRule type="containsText" dxfId="699" priority="114" operator="containsText" text="Select">
      <formula>NOT(ISERROR(SEARCH("Select",D64)))</formula>
    </cfRule>
  </conditionalFormatting>
  <conditionalFormatting sqref="D62:F65">
    <cfRule type="containsText" dxfId="698" priority="113" operator="containsText" text="Specify here">
      <formula>NOT(ISERROR(SEARCH("Specify here",D62)))</formula>
    </cfRule>
  </conditionalFormatting>
  <conditionalFormatting sqref="G63">
    <cfRule type="containsText" dxfId="697" priority="112" operator="containsText" text="Reference">
      <formula>NOT(ISERROR(SEARCH("Reference",G63)))</formula>
    </cfRule>
  </conditionalFormatting>
  <conditionalFormatting sqref="L63">
    <cfRule type="containsText" dxfId="696" priority="111" operator="containsText" text="Reference">
      <formula>NOT(ISERROR(SEARCH("Reference",L63)))</formula>
    </cfRule>
  </conditionalFormatting>
  <conditionalFormatting sqref="Q63">
    <cfRule type="containsText" dxfId="695" priority="110" operator="containsText" text="Reference">
      <formula>NOT(ISERROR(SEARCH("Reference",Q63)))</formula>
    </cfRule>
  </conditionalFormatting>
  <conditionalFormatting sqref="G73 G75 G77 G71">
    <cfRule type="containsText" dxfId="694" priority="109" operator="containsText" text="Reference">
      <formula>NOT(ISERROR(SEARCH("Reference",G71)))</formula>
    </cfRule>
  </conditionalFormatting>
  <conditionalFormatting sqref="L73 L75 L77 L71">
    <cfRule type="containsText" dxfId="693" priority="108" operator="containsText" text="Reference">
      <formula>NOT(ISERROR(SEARCH("Reference",L71)))</formula>
    </cfRule>
  </conditionalFormatting>
  <conditionalFormatting sqref="Q73 Q75 Q77 Q71">
    <cfRule type="containsText" dxfId="692" priority="107" operator="containsText" text="Reference">
      <formula>NOT(ISERROR(SEARCH("Reference",Q71)))</formula>
    </cfRule>
  </conditionalFormatting>
  <conditionalFormatting sqref="B93">
    <cfRule type="containsText" dxfId="691" priority="106" operator="containsText" text="Specify data sources and references here">
      <formula>NOT(ISERROR(SEARCH("Specify data sources and references here",B93)))</formula>
    </cfRule>
  </conditionalFormatting>
  <conditionalFormatting sqref="C108:U110">
    <cfRule type="containsText" dxfId="690" priority="105" operator="containsText" text="Add other sources here">
      <formula>NOT(ISERROR(SEARCH("Add other sources here",C108)))</formula>
    </cfRule>
  </conditionalFormatting>
  <conditionalFormatting sqref="D22">
    <cfRule type="containsText" dxfId="689" priority="104" operator="containsText" text="Please select the region">
      <formula>NOT(ISERROR(SEARCH("Please select the region",D22)))</formula>
    </cfRule>
  </conditionalFormatting>
  <conditionalFormatting sqref="D25">
    <cfRule type="containsText" dxfId="688" priority="103" operator="containsText" text="Specify here the market">
      <formula>NOT(ISERROR(SEARCH("Specify here the market",D25)))</formula>
    </cfRule>
  </conditionalFormatting>
  <conditionalFormatting sqref="G20:K20">
    <cfRule type="containsText" dxfId="687" priority="102" operator="containsText" text="Reference">
      <formula>NOT(ISERROR(SEARCH("Reference",G20)))</formula>
    </cfRule>
  </conditionalFormatting>
  <conditionalFormatting sqref="G24:K24">
    <cfRule type="containsText" dxfId="686" priority="101" operator="containsText" text="Reference">
      <formula>NOT(ISERROR(SEARCH("Reference",G24)))</formula>
    </cfRule>
  </conditionalFormatting>
  <conditionalFormatting sqref="G26:K26">
    <cfRule type="containsText" dxfId="685" priority="100" operator="containsText" text="Reference">
      <formula>NOT(ISERROR(SEARCH("Reference",G26)))</formula>
    </cfRule>
  </conditionalFormatting>
  <conditionalFormatting sqref="H41:U41 G51:K51 G53:U53 G55:U55 G57:U57 G63:U63 G65:U65 G71:U71 G73:U73 G75:U75 G77:U77 H83:K83 M83:P83 R83:U83 M51:P51 R51:U51 M45:P45 R45:U45 J39:U39 H45:K45 H43:K43 M43:P43 R43:U43">
    <cfRule type="containsText" dxfId="684" priority="99" operator="containsText" text="Reference">
      <formula>NOT(ISERROR(SEARCH("Reference",G39)))</formula>
    </cfRule>
  </conditionalFormatting>
  <conditionalFormatting sqref="L26:P26 L24 N24:P24">
    <cfRule type="containsText" dxfId="683" priority="98" operator="containsText" text="Reference">
      <formula>NOT(ISERROR(SEARCH("Reference",L24)))</formula>
    </cfRule>
  </conditionalFormatting>
  <conditionalFormatting sqref="Q26:U26 Q24 U24">
    <cfRule type="containsText" dxfId="682" priority="97" operator="containsText" text="Reference">
      <formula>NOT(ISERROR(SEARCH("Reference",Q24)))</formula>
    </cfRule>
  </conditionalFormatting>
  <conditionalFormatting sqref="L24 L26:U26 U24 N24:Q24">
    <cfRule type="containsText" dxfId="681" priority="96" operator="containsText" text="Reference">
      <formula>NOT(ISERROR(SEARCH("Reference",L24)))</formula>
    </cfRule>
  </conditionalFormatting>
  <conditionalFormatting sqref="D30">
    <cfRule type="containsText" dxfId="680" priority="95" operator="containsText" text="Please select">
      <formula>NOT(ISERROR(SEARCH("Please select",D30)))</formula>
    </cfRule>
  </conditionalFormatting>
  <conditionalFormatting sqref="D30">
    <cfRule type="containsText" dxfId="679" priority="94" operator="containsText" text="Specify here">
      <formula>NOT(ISERROR(SEARCH("Specify here",D30)))</formula>
    </cfRule>
  </conditionalFormatting>
  <conditionalFormatting sqref="H85:K85 M85:P85 R85:U85">
    <cfRule type="containsText" dxfId="678" priority="90" operator="containsText" text="Reference">
      <formula>NOT(ISERROR(SEARCH("Reference",H85)))</formula>
    </cfRule>
  </conditionalFormatting>
  <conditionalFormatting sqref="H87:K87 M87:P87 R87:U87">
    <cfRule type="containsText" dxfId="677" priority="86" operator="containsText" text="Reference">
      <formula>NOT(ISERROR(SEARCH("Reference",H87)))</formula>
    </cfRule>
  </conditionalFormatting>
  <conditionalFormatting sqref="H89:K89 M89:P89 R89:U89">
    <cfRule type="containsText" dxfId="676" priority="82" operator="containsText" text="Reference">
      <formula>NOT(ISERROR(SEARCH("Reference",H89)))</formula>
    </cfRule>
  </conditionalFormatting>
  <conditionalFormatting sqref="H85:K85">
    <cfRule type="containsText" dxfId="675" priority="93" operator="containsText" text="Reference">
      <formula>NOT(ISERROR(SEARCH("Reference",H85)))</formula>
    </cfRule>
  </conditionalFormatting>
  <conditionalFormatting sqref="M85:P85">
    <cfRule type="containsText" dxfId="674" priority="92" operator="containsText" text="Reference">
      <formula>NOT(ISERROR(SEARCH("Reference",M85)))</formula>
    </cfRule>
  </conditionalFormatting>
  <conditionalFormatting sqref="R85:U85">
    <cfRule type="containsText" dxfId="673" priority="91" operator="containsText" text="Reference">
      <formula>NOT(ISERROR(SEARCH("Reference",R85)))</formula>
    </cfRule>
  </conditionalFormatting>
  <conditionalFormatting sqref="H87:K87">
    <cfRule type="containsText" dxfId="672" priority="89" operator="containsText" text="Reference">
      <formula>NOT(ISERROR(SEARCH("Reference",H87)))</formula>
    </cfRule>
  </conditionalFormatting>
  <conditionalFormatting sqref="M87:P87">
    <cfRule type="containsText" dxfId="671" priority="88" operator="containsText" text="Reference">
      <formula>NOT(ISERROR(SEARCH("Reference",M87)))</formula>
    </cfRule>
  </conditionalFormatting>
  <conditionalFormatting sqref="R87:U87">
    <cfRule type="containsText" dxfId="670" priority="87" operator="containsText" text="Reference">
      <formula>NOT(ISERROR(SEARCH("Reference",R87)))</formula>
    </cfRule>
  </conditionalFormatting>
  <conditionalFormatting sqref="H89:K89">
    <cfRule type="containsText" dxfId="669" priority="85" operator="containsText" text="Reference">
      <formula>NOT(ISERROR(SEARCH("Reference",H89)))</formula>
    </cfRule>
  </conditionalFormatting>
  <conditionalFormatting sqref="M89:P89">
    <cfRule type="containsText" dxfId="668" priority="84" operator="containsText" text="Reference">
      <formula>NOT(ISERROR(SEARCH("Reference",M89)))</formula>
    </cfRule>
  </conditionalFormatting>
  <conditionalFormatting sqref="R89:U89">
    <cfRule type="containsText" dxfId="667" priority="83" operator="containsText" text="Reference">
      <formula>NOT(ISERROR(SEARCH("Reference",R89)))</formula>
    </cfRule>
  </conditionalFormatting>
  <conditionalFormatting sqref="B82">
    <cfRule type="containsText" dxfId="666" priority="81" operator="containsText" text="Add here">
      <formula>NOT(ISERROR(SEARCH("Add here",B82)))</formula>
    </cfRule>
  </conditionalFormatting>
  <conditionalFormatting sqref="B84">
    <cfRule type="containsText" dxfId="665" priority="80" operator="containsText" text="Add here">
      <formula>NOT(ISERROR(SEARCH("Add here",B84)))</formula>
    </cfRule>
  </conditionalFormatting>
  <conditionalFormatting sqref="B86">
    <cfRule type="containsText" dxfId="664" priority="79" operator="containsText" text="Add here">
      <formula>NOT(ISERROR(SEARCH("Add here",B86)))</formula>
    </cfRule>
  </conditionalFormatting>
  <conditionalFormatting sqref="B88">
    <cfRule type="containsText" dxfId="663" priority="78" operator="containsText" text="Add here">
      <formula>NOT(ISERROR(SEARCH("Add here",B88)))</formula>
    </cfRule>
  </conditionalFormatting>
  <conditionalFormatting sqref="G85 G87 G89 G83">
    <cfRule type="containsText" dxfId="662" priority="77" operator="containsText" text="Reference">
      <formula>NOT(ISERROR(SEARCH("Reference",G83)))</formula>
    </cfRule>
  </conditionalFormatting>
  <conditionalFormatting sqref="G83 G85 G87 G89">
    <cfRule type="containsText" dxfId="661" priority="76" operator="containsText" text="Reference">
      <formula>NOT(ISERROR(SEARCH("Reference",G83)))</formula>
    </cfRule>
  </conditionalFormatting>
  <conditionalFormatting sqref="L85 L87 L89 L83">
    <cfRule type="containsText" dxfId="660" priority="75" operator="containsText" text="Reference">
      <formula>NOT(ISERROR(SEARCH("Reference",L83)))</formula>
    </cfRule>
  </conditionalFormatting>
  <conditionalFormatting sqref="L83 L85 L87 L89">
    <cfRule type="containsText" dxfId="659" priority="74" operator="containsText" text="Reference">
      <formula>NOT(ISERROR(SEARCH("Reference",L83)))</formula>
    </cfRule>
  </conditionalFormatting>
  <conditionalFormatting sqref="Q85 Q87 Q89 Q83">
    <cfRule type="containsText" dxfId="658" priority="73" operator="containsText" text="Reference">
      <formula>NOT(ISERROR(SEARCH("Reference",Q83)))</formula>
    </cfRule>
  </conditionalFormatting>
  <conditionalFormatting sqref="Q83 Q85 Q87 Q89">
    <cfRule type="containsText" dxfId="657" priority="72" operator="containsText" text="Reference">
      <formula>NOT(ISERROR(SEARCH("Reference",Q83)))</formula>
    </cfRule>
  </conditionalFormatting>
  <conditionalFormatting sqref="D90">
    <cfRule type="containsText" dxfId="656" priority="71" operator="containsText" text="Explain here">
      <formula>NOT(ISERROR(SEARCH("Explain here",D90)))</formula>
    </cfRule>
  </conditionalFormatting>
  <conditionalFormatting sqref="D84">
    <cfRule type="containsText" dxfId="655" priority="70" operator="containsText" text="Specify here">
      <formula>NOT(ISERROR(SEARCH("Specify here",D84)))</formula>
    </cfRule>
  </conditionalFormatting>
  <conditionalFormatting sqref="D86">
    <cfRule type="containsText" dxfId="654" priority="69" operator="containsText" text="Specify here">
      <formula>NOT(ISERROR(SEARCH("Specify here",D86)))</formula>
    </cfRule>
  </conditionalFormatting>
  <conditionalFormatting sqref="D88">
    <cfRule type="containsText" dxfId="653" priority="68" operator="containsText" text="Specify here">
      <formula>NOT(ISERROR(SEARCH("Specify here",D88)))</formula>
    </cfRule>
  </conditionalFormatting>
  <conditionalFormatting sqref="E42:F43">
    <cfRule type="containsText" dxfId="652" priority="67" operator="containsText" text="Please select">
      <formula>NOT(ISERROR(SEARCH("Please select",E42)))</formula>
    </cfRule>
  </conditionalFormatting>
  <conditionalFormatting sqref="F22">
    <cfRule type="containsText" dxfId="651" priority="66" operator="containsText" text="Please select">
      <formula>NOT(ISERROR(SEARCH("Please select",F22)))</formula>
    </cfRule>
  </conditionalFormatting>
  <conditionalFormatting sqref="F25">
    <cfRule type="containsText" dxfId="650" priority="65" operator="containsText" text="Select Functional Unit above">
      <formula>NOT(ISERROR(SEARCH("Select Functional Unit above",F25)))</formula>
    </cfRule>
  </conditionalFormatting>
  <conditionalFormatting sqref="E44:F45">
    <cfRule type="cellIs" dxfId="649" priority="64" operator="equal">
      <formula>"Please select based on chosen Functional Unit"</formula>
    </cfRule>
  </conditionalFormatting>
  <conditionalFormatting sqref="D7">
    <cfRule type="containsText" dxfId="648" priority="63" operator="containsText" text="Please select">
      <formula>NOT(ISERROR(SEARCH("Please select",D7)))</formula>
    </cfRule>
  </conditionalFormatting>
  <conditionalFormatting sqref="D7">
    <cfRule type="containsText" dxfId="647" priority="62" operator="containsText" text="Specify here">
      <formula>NOT(ISERROR(SEARCH("Specify here",D7)))</formula>
    </cfRule>
  </conditionalFormatting>
  <conditionalFormatting sqref="R24:T24">
    <cfRule type="containsText" dxfId="646" priority="61" operator="containsText" text="Reference">
      <formula>NOT(ISERROR(SEARCH("Reference",R24)))</formula>
    </cfRule>
  </conditionalFormatting>
  <conditionalFormatting sqref="G41">
    <cfRule type="containsText" dxfId="645" priority="60" operator="containsText" text="Reference">
      <formula>NOT(ISERROR(SEARCH("Reference",G41)))</formula>
    </cfRule>
  </conditionalFormatting>
  <conditionalFormatting sqref="G41">
    <cfRule type="containsText" dxfId="644" priority="59" operator="containsText" text="Reference">
      <formula>NOT(ISERROR(SEARCH("Reference",G41)))</formula>
    </cfRule>
  </conditionalFormatting>
  <conditionalFormatting sqref="C92:U92">
    <cfRule type="containsText" dxfId="643" priority="58" operator="containsText" text="Specify complete references and data sources used here">
      <formula>NOT(ISERROR(SEARCH("Specify complete references and data sources used here",C92)))</formula>
    </cfRule>
  </conditionalFormatting>
  <conditionalFormatting sqref="L51">
    <cfRule type="containsText" dxfId="642" priority="57" operator="containsText" text="Reference">
      <formula>NOT(ISERROR(SEARCH("Reference",L51)))</formula>
    </cfRule>
  </conditionalFormatting>
  <conditionalFormatting sqref="L51">
    <cfRule type="containsText" dxfId="641" priority="56" operator="containsText" text="Reference">
      <formula>NOT(ISERROR(SEARCH("Reference",L51)))</formula>
    </cfRule>
  </conditionalFormatting>
  <conditionalFormatting sqref="Q51">
    <cfRule type="containsText" dxfId="640" priority="55" operator="containsText" text="Reference">
      <formula>NOT(ISERROR(SEARCH("Reference",Q51)))</formula>
    </cfRule>
  </conditionalFormatting>
  <conditionalFormatting sqref="Q51">
    <cfRule type="containsText" dxfId="639" priority="54" operator="containsText" text="Reference">
      <formula>NOT(ISERROR(SEARCH("Reference",Q51)))</formula>
    </cfRule>
  </conditionalFormatting>
  <conditionalFormatting sqref="Q39:S39">
    <cfRule type="containsText" dxfId="638" priority="53" operator="containsText" text="Reference">
      <formula>NOT(ISERROR(SEARCH("Reference",Q39)))</formula>
    </cfRule>
  </conditionalFormatting>
  <conditionalFormatting sqref="G43">
    <cfRule type="containsText" dxfId="637" priority="36" operator="containsText" text="Reference">
      <formula>NOT(ISERROR(SEARCH("Reference",G43)))</formula>
    </cfRule>
  </conditionalFormatting>
  <conditionalFormatting sqref="L39:N39">
    <cfRule type="containsText" dxfId="636" priority="43" operator="containsText" text="Reference">
      <formula>NOT(ISERROR(SEARCH("Reference",L39)))</formula>
    </cfRule>
  </conditionalFormatting>
  <conditionalFormatting sqref="L27">
    <cfRule type="containsText" dxfId="635" priority="52" operator="containsText" text="Specify here">
      <formula>NOT(ISERROR(SEARCH("Specify here",L27)))</formula>
    </cfRule>
  </conditionalFormatting>
  <conditionalFormatting sqref="M24">
    <cfRule type="containsText" dxfId="634" priority="51" operator="containsText" text="Reference">
      <formula>NOT(ISERROR(SEARCH("Reference",M24)))</formula>
    </cfRule>
  </conditionalFormatting>
  <conditionalFormatting sqref="M24">
    <cfRule type="containsText" dxfId="633" priority="50" operator="containsText" text="Reference">
      <formula>NOT(ISERROR(SEARCH("Reference",M24)))</formula>
    </cfRule>
  </conditionalFormatting>
  <conditionalFormatting sqref="D14">
    <cfRule type="containsText" dxfId="632" priority="49" operator="containsText" text="Explain here">
      <formula>NOT(ISERROR(SEARCH("Explain here",D14)))</formula>
    </cfRule>
  </conditionalFormatting>
  <conditionalFormatting sqref="D28">
    <cfRule type="containsText" dxfId="631" priority="48" operator="containsText" text="Please select">
      <formula>NOT(ISERROR(SEARCH("Please select",D28)))</formula>
    </cfRule>
  </conditionalFormatting>
  <conditionalFormatting sqref="D28">
    <cfRule type="containsText" dxfId="630" priority="47" operator="containsText" text="Specify here">
      <formula>NOT(ISERROR(SEARCH("Specify here",D28)))</formula>
    </cfRule>
  </conditionalFormatting>
  <conditionalFormatting sqref="L28:O28">
    <cfRule type="containsText" dxfId="629" priority="46" operator="containsText" text="Specify here">
      <formula>NOT(ISERROR(SEARCH("Specify here",L28)))</formula>
    </cfRule>
  </conditionalFormatting>
  <conditionalFormatting sqref="L28:O28">
    <cfRule type="containsText" dxfId="628" priority="45" operator="containsText" text="Specify here">
      <formula>NOT(ISERROR(SEARCH("Specify here",L28)))</formula>
    </cfRule>
  </conditionalFormatting>
  <conditionalFormatting sqref="L34:O34">
    <cfRule type="containsText" dxfId="627" priority="44" operator="containsText" text="Specify here">
      <formula>NOT(ISERROR(SEARCH("Specify here",L34)))</formula>
    </cfRule>
  </conditionalFormatting>
  <conditionalFormatting sqref="L39:N39">
    <cfRule type="containsText" dxfId="626" priority="42" operator="containsText" text="Reference">
      <formula>NOT(ISERROR(SEARCH("Reference",L39)))</formula>
    </cfRule>
  </conditionalFormatting>
  <conditionalFormatting sqref="G39:I39">
    <cfRule type="containsText" dxfId="625" priority="41" operator="containsText" text="Reference">
      <formula>NOT(ISERROR(SEARCH("Reference",G39)))</formula>
    </cfRule>
  </conditionalFormatting>
  <conditionalFormatting sqref="G39:I39">
    <cfRule type="containsText" dxfId="624" priority="40" operator="containsText" text="Reference">
      <formula>NOT(ISERROR(SEARCH("Reference",G39)))</formula>
    </cfRule>
  </conditionalFormatting>
  <conditionalFormatting sqref="G39:I39">
    <cfRule type="containsText" dxfId="623" priority="39" operator="containsText" text="Reference">
      <formula>NOT(ISERROR(SEARCH("Reference",G39)))</formula>
    </cfRule>
  </conditionalFormatting>
  <conditionalFormatting sqref="G43">
    <cfRule type="containsText" dxfId="622" priority="38" operator="containsText" text="Reference">
      <formula>NOT(ISERROR(SEARCH("Reference",G43)))</formula>
    </cfRule>
  </conditionalFormatting>
  <conditionalFormatting sqref="G43">
    <cfRule type="containsText" dxfId="621" priority="37" operator="containsText" text="Reference">
      <formula>NOT(ISERROR(SEARCH("Reference",G43)))</formula>
    </cfRule>
  </conditionalFormatting>
  <conditionalFormatting sqref="G45">
    <cfRule type="containsText" dxfId="620" priority="35" operator="containsText" text="Reference">
      <formula>NOT(ISERROR(SEARCH("Reference",G45)))</formula>
    </cfRule>
  </conditionalFormatting>
  <conditionalFormatting sqref="G45">
    <cfRule type="containsText" dxfId="619" priority="34" operator="containsText" text="Reference">
      <formula>NOT(ISERROR(SEARCH("Reference",G45)))</formula>
    </cfRule>
  </conditionalFormatting>
  <conditionalFormatting sqref="G45">
    <cfRule type="containsText" dxfId="618" priority="33" operator="containsText" text="Reference">
      <formula>NOT(ISERROR(SEARCH("Reference",G45)))</formula>
    </cfRule>
  </conditionalFormatting>
  <conditionalFormatting sqref="M43:N43">
    <cfRule type="containsText" dxfId="617" priority="32" operator="containsText" text="Reference">
      <formula>NOT(ISERROR(SEARCH("Reference",M43)))</formula>
    </cfRule>
  </conditionalFormatting>
  <conditionalFormatting sqref="L43">
    <cfRule type="containsText" dxfId="616" priority="31" operator="containsText" text="Reference">
      <formula>NOT(ISERROR(SEARCH("Reference",L43)))</formula>
    </cfRule>
  </conditionalFormatting>
  <conditionalFormatting sqref="L43">
    <cfRule type="containsText" dxfId="615" priority="30" operator="containsText" text="Reference">
      <formula>NOT(ISERROR(SEARCH("Reference",L43)))</formula>
    </cfRule>
  </conditionalFormatting>
  <conditionalFormatting sqref="L43">
    <cfRule type="containsText" dxfId="614" priority="29" operator="containsText" text="Reference">
      <formula>NOT(ISERROR(SEARCH("Reference",L43)))</formula>
    </cfRule>
  </conditionalFormatting>
  <conditionalFormatting sqref="L43">
    <cfRule type="containsText" dxfId="613" priority="28" operator="containsText" text="Reference">
      <formula>NOT(ISERROR(SEARCH("Reference",L43)))</formula>
    </cfRule>
  </conditionalFormatting>
  <conditionalFormatting sqref="M43:N43">
    <cfRule type="containsText" dxfId="612" priority="27" operator="containsText" text="Reference">
      <formula>NOT(ISERROR(SEARCH("Reference",M43)))</formula>
    </cfRule>
  </conditionalFormatting>
  <conditionalFormatting sqref="M43:N43">
    <cfRule type="containsText" dxfId="611" priority="26" operator="containsText" text="Reference">
      <formula>NOT(ISERROR(SEARCH("Reference",M43)))</formula>
    </cfRule>
  </conditionalFormatting>
  <conditionalFormatting sqref="R43:S43">
    <cfRule type="containsText" dxfId="610" priority="25" operator="containsText" text="Reference">
      <formula>NOT(ISERROR(SEARCH("Reference",R43)))</formula>
    </cfRule>
  </conditionalFormatting>
  <conditionalFormatting sqref="R43:S43">
    <cfRule type="containsText" dxfId="609" priority="24" operator="containsText" text="Reference">
      <formula>NOT(ISERROR(SEARCH("Reference",R43)))</formula>
    </cfRule>
  </conditionalFormatting>
  <conditionalFormatting sqref="R43:S43">
    <cfRule type="containsText" dxfId="608" priority="23" operator="containsText" text="Reference">
      <formula>NOT(ISERROR(SEARCH("Reference",R43)))</formula>
    </cfRule>
  </conditionalFormatting>
  <conditionalFormatting sqref="H43:I43">
    <cfRule type="containsText" dxfId="607" priority="22" operator="containsText" text="Reference">
      <formula>NOT(ISERROR(SEARCH("Reference",H43)))</formula>
    </cfRule>
  </conditionalFormatting>
  <conditionalFormatting sqref="H43:I43">
    <cfRule type="containsText" dxfId="606" priority="21" operator="containsText" text="Reference">
      <formula>NOT(ISERROR(SEARCH("Reference",H43)))</formula>
    </cfRule>
  </conditionalFormatting>
  <conditionalFormatting sqref="H43:I43">
    <cfRule type="containsText" dxfId="605" priority="20" operator="containsText" text="Reference">
      <formula>NOT(ISERROR(SEARCH("Reference",H43)))</formula>
    </cfRule>
  </conditionalFormatting>
  <conditionalFormatting sqref="C93:U93">
    <cfRule type="containsText" dxfId="604" priority="19" operator="containsText" text="Specify complete references and data sources used here">
      <formula>NOT(ISERROR(SEARCH("Specify complete references and data sources used here",C93)))</formula>
    </cfRule>
  </conditionalFormatting>
  <conditionalFormatting sqref="C94:U94">
    <cfRule type="containsText" dxfId="603" priority="18" operator="containsText" text="Specify complete references and data sources used here">
      <formula>NOT(ISERROR(SEARCH("Specify complete references and data sources used here",C94)))</formula>
    </cfRule>
  </conditionalFormatting>
  <conditionalFormatting sqref="L45">
    <cfRule type="containsText" dxfId="602" priority="17" operator="containsText" text="Reference">
      <formula>NOT(ISERROR(SEARCH("Reference",L45)))</formula>
    </cfRule>
  </conditionalFormatting>
  <conditionalFormatting sqref="L45">
    <cfRule type="containsText" dxfId="601" priority="16" operator="containsText" text="Reference">
      <formula>NOT(ISERROR(SEARCH("Reference",L45)))</formula>
    </cfRule>
  </conditionalFormatting>
  <conditionalFormatting sqref="L45">
    <cfRule type="containsText" dxfId="600" priority="15" operator="containsText" text="Reference">
      <formula>NOT(ISERROR(SEARCH("Reference",L45)))</formula>
    </cfRule>
  </conditionalFormatting>
  <conditionalFormatting sqref="L45">
    <cfRule type="containsText" dxfId="599" priority="14" operator="containsText" text="Reference">
      <formula>NOT(ISERROR(SEARCH("Reference",L45)))</formula>
    </cfRule>
  </conditionalFormatting>
  <conditionalFormatting sqref="Q45">
    <cfRule type="containsText" dxfId="598" priority="13" operator="containsText" text="Reference">
      <formula>NOT(ISERROR(SEARCH("Reference",Q45)))</formula>
    </cfRule>
  </conditionalFormatting>
  <conditionalFormatting sqref="Q45">
    <cfRule type="containsText" dxfId="597" priority="12" operator="containsText" text="Reference">
      <formula>NOT(ISERROR(SEARCH("Reference",Q45)))</formula>
    </cfRule>
  </conditionalFormatting>
  <conditionalFormatting sqref="Q45">
    <cfRule type="containsText" dxfId="596" priority="11" operator="containsText" text="Reference">
      <formula>NOT(ISERROR(SEARCH("Reference",Q45)))</formula>
    </cfRule>
  </conditionalFormatting>
  <conditionalFormatting sqref="Q45">
    <cfRule type="containsText" dxfId="595" priority="10" operator="containsText" text="Reference">
      <formula>NOT(ISERROR(SEARCH("Reference",Q45)))</formula>
    </cfRule>
  </conditionalFormatting>
  <conditionalFormatting sqref="Q43">
    <cfRule type="containsText" dxfId="594" priority="9" operator="containsText" text="Reference">
      <formula>NOT(ISERROR(SEARCH("Reference",Q43)))</formula>
    </cfRule>
  </conditionalFormatting>
  <conditionalFormatting sqref="Q43">
    <cfRule type="containsText" dxfId="593" priority="8" operator="containsText" text="Reference">
      <formula>NOT(ISERROR(SEARCH("Reference",Q43)))</formula>
    </cfRule>
  </conditionalFormatting>
  <conditionalFormatting sqref="Q43">
    <cfRule type="containsText" dxfId="592" priority="7" operator="containsText" text="Reference">
      <formula>NOT(ISERROR(SEARCH("Reference",Q43)))</formula>
    </cfRule>
  </conditionalFormatting>
  <conditionalFormatting sqref="Q43">
    <cfRule type="containsText" dxfId="591" priority="6" operator="containsText" text="Reference">
      <formula>NOT(ISERROR(SEARCH("Reference",Q43)))</formula>
    </cfRule>
  </conditionalFormatting>
  <conditionalFormatting sqref="B97 B99">
    <cfRule type="containsText" dxfId="590" priority="5" operator="containsText" text="Specify data sources and references here">
      <formula>NOT(ISERROR(SEARCH("Specify data sources and references here",B97)))</formula>
    </cfRule>
  </conditionalFormatting>
  <conditionalFormatting sqref="B107">
    <cfRule type="containsText" dxfId="589" priority="4" operator="containsText" text="Specify data sources and references here">
      <formula>NOT(ISERROR(SEARCH("Specify data sources and references here",B107)))</formula>
    </cfRule>
  </conditionalFormatting>
  <conditionalFormatting sqref="O11">
    <cfRule type="containsText" dxfId="588" priority="3" operator="containsText" text="Specify here">
      <formula>NOT(ISERROR(SEARCH("Specify here",O11)))</formula>
    </cfRule>
  </conditionalFormatting>
  <conditionalFormatting sqref="O12">
    <cfRule type="containsText" dxfId="587" priority="2" operator="containsText" text="Specify here">
      <formula>NOT(ISERROR(SEARCH("Specify here",O12)))</formula>
    </cfRule>
  </conditionalFormatting>
  <conditionalFormatting sqref="O7">
    <cfRule type="containsText" dxfId="586" priority="1" operator="containsText" text="DD-MM-YYYY">
      <formula>NOT(ISERROR(SEARCH("DD-MM-YYYY",O7)))</formula>
    </cfRule>
  </conditionalFormatting>
  <dataValidations count="2">
    <dataValidation type="list" allowBlank="1" showInputMessage="1" showErrorMessage="1" sqref="L33:O33" xr:uid="{5EF7B4E9-A914-43B7-9008-7DE24DCD47CB}">
      <formula1>$X$6:$X$9</formula1>
    </dataValidation>
    <dataValidation allowBlank="1" showInputMessage="1" showErrorMessage="1" prompt="More details are found in 'READ ME' tab" sqref="D14" xr:uid="{0A6DB13A-F2C1-4896-886E-5B270D0B5944}"/>
  </dataValidations>
  <pageMargins left="0.7" right="0.7" top="0.75" bottom="0.75" header="0.3" footer="0.3"/>
  <pageSetup paperSize="9" scale="31" orientation="landscape"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956D6B01-E8AA-4786-9828-64FA1898AA6E}">
          <x14:formula1>
            <xm:f>List!$L$3:$L$67</xm:f>
          </x14:formula1>
          <xm:sqref>D52:E57</xm:sqref>
        </x14:dataValidation>
        <x14:dataValidation type="list" allowBlank="1" showInputMessage="1" showErrorMessage="1" xr:uid="{D45AC448-EE48-466F-AEFB-8E297DF35D7F}">
          <x14:formula1>
            <xm:f>List!$L$2:$L$74</xm:f>
          </x14:formula1>
          <xm:sqref>D50:E51</xm:sqref>
        </x14:dataValidation>
        <x14:dataValidation type="list" allowBlank="1" showInputMessage="1" showErrorMessage="1" xr:uid="{51E08494-BC5D-4554-A516-C4E7356559AF}">
          <x14:formula1>
            <xm:f>List!$Z$15:$Z$16</xm:f>
          </x14:formula1>
          <xm:sqref>D38:D45</xm:sqref>
        </x14:dataValidation>
        <x14:dataValidation type="list" allowBlank="1" showInputMessage="1" showErrorMessage="1" xr:uid="{95282E9F-A5F5-4FD2-BA84-438EF89E2347}">
          <x14:formula1>
            <xm:f>List!$J$3:$J$6</xm:f>
          </x14:formula1>
          <xm:sqref>E44:F45</xm:sqref>
        </x14:dataValidation>
        <x14:dataValidation type="list" allowBlank="1" showInputMessage="1" showErrorMessage="1" xr:uid="{20B6F3C1-5A39-4AEB-A017-137B6E5530B7}">
          <x14:formula1>
            <xm:f>List!$B$3:$B$27</xm:f>
          </x14:formula1>
          <xm:sqref>D8:K8</xm:sqref>
        </x14:dataValidation>
        <x14:dataValidation type="list" allowBlank="1" showInputMessage="1" showErrorMessage="1" xr:uid="{4A842B20-AAB1-4AB7-A6A3-0C6F0980BB74}">
          <x14:formula1>
            <xm:f>List!$Z$10:$Z$13</xm:f>
          </x14:formula1>
          <xm:sqref>D22:E24</xm:sqref>
        </x14:dataValidation>
        <x14:dataValidation type="list" allowBlank="1" showInputMessage="1" showErrorMessage="1" xr:uid="{B3F9A82C-35D0-47E8-A5F1-9D5F07167007}">
          <x14:formula1>
            <xm:f>List!$R$3:$R$13</xm:f>
          </x14:formula1>
          <xm:sqref>D70:E77</xm:sqref>
        </x14:dataValidation>
        <x14:dataValidation type="list" allowBlank="1" showInputMessage="1" showErrorMessage="1" xr:uid="{E7AD3161-540C-4DF6-9319-389BC7478161}">
          <x14:formula1>
            <xm:f>List!$Z$2:$Z$4</xm:f>
          </x14:formula1>
          <xm:sqref>D10:K10</xm:sqref>
        </x14:dataValidation>
        <x14:dataValidation type="list" allowBlank="1" showInputMessage="1" showErrorMessage="1" xr:uid="{237600FE-01F1-47EB-ACB5-AEF7A9700D4B}">
          <x14:formula1>
            <xm:f>List!$F$3:$F$18</xm:f>
          </x14:formula1>
          <xm:sqref>D16:K17 F22</xm:sqref>
        </x14:dataValidation>
        <x14:dataValidation type="list" allowBlank="1" showInputMessage="1" showErrorMessage="1" xr:uid="{F0076BBD-8DED-49BD-831B-0E4C680165CB}">
          <x14:formula1>
            <xm:f>List!$H$3:$H$10</xm:f>
          </x14:formula1>
          <xm:sqref>D29</xm:sqref>
        </x14:dataValidation>
        <x14:dataValidation type="list" allowBlank="1" showInputMessage="1" showErrorMessage="1" xr:uid="{2EECE6A9-07E4-4543-8DF6-1680B654980D}">
          <x14:formula1>
            <xm:f>List!$T$3:$T$6</xm:f>
          </x14:formula1>
          <xm:sqref>F70:F77</xm:sqref>
        </x14:dataValidation>
        <x14:dataValidation type="list" allowBlank="1" showInputMessage="1" showErrorMessage="1" xr:uid="{F4545F4A-D961-4127-98CE-1B85E546E867}">
          <x14:formula1>
            <xm:f>List!$D$3:$D$17</xm:f>
          </x14:formula1>
          <xm:sqref>D11</xm:sqref>
        </x14:dataValidation>
        <x14:dataValidation type="list" allowBlank="1" showInputMessage="1" showErrorMessage="1" xr:uid="{BBC7E7D1-1BB4-4CCE-8CF7-E68E0814DEAF}">
          <x14:formula1>
            <xm:f>List!$Z$6:$Z$8</xm:f>
          </x14:formula1>
          <xm:sqref>D33</xm:sqref>
        </x14:dataValidation>
        <x14:dataValidation type="list" allowBlank="1" showInputMessage="1" showErrorMessage="1" prompt="More details are found in 'READ ME' tab" xr:uid="{A749BDDD-CD07-4A7F-850B-3CF9A70517D6}">
          <x14:formula1>
            <xm:f>'READ ME'!$C$26:$C$34</xm:f>
          </x14:formula1>
          <xm:sqref>D13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EC13-89E3-4813-AA3E-4BF182522D96}">
  <sheetPr>
    <tabColor theme="4"/>
  </sheetPr>
  <dimension ref="A1:F22"/>
  <sheetViews>
    <sheetView topLeftCell="A2" zoomScale="120" zoomScaleNormal="120" workbookViewId="0">
      <selection activeCell="D9" sqref="F9"/>
    </sheetView>
  </sheetViews>
  <sheetFormatPr defaultRowHeight="15.75" x14ac:dyDescent="0.25"/>
  <cols>
    <col min="2" max="2" width="27.375" bestFit="1" customWidth="1"/>
    <col min="3" max="3" width="12.625" customWidth="1"/>
    <col min="4" max="4" width="13.375" customWidth="1"/>
    <col min="5" max="5" width="42" bestFit="1" customWidth="1"/>
  </cols>
  <sheetData>
    <row r="1" spans="1:6" x14ac:dyDescent="0.25">
      <c r="A1" t="s">
        <v>615</v>
      </c>
      <c r="B1" s="279">
        <v>44875</v>
      </c>
    </row>
    <row r="3" spans="1:6" ht="16.5" thickBot="1" x14ac:dyDescent="0.3">
      <c r="B3" s="280" t="s">
        <v>304</v>
      </c>
      <c r="C3" s="280" t="s">
        <v>616</v>
      </c>
      <c r="D3" s="280" t="s">
        <v>617</v>
      </c>
      <c r="E3" s="280" t="s">
        <v>618</v>
      </c>
    </row>
    <row r="4" spans="1:6" x14ac:dyDescent="0.25">
      <c r="B4" s="281" t="s">
        <v>631</v>
      </c>
      <c r="C4" s="282" t="s">
        <v>224</v>
      </c>
      <c r="D4" s="281">
        <v>4</v>
      </c>
      <c r="E4" s="281" t="s">
        <v>644</v>
      </c>
      <c r="F4" s="284"/>
    </row>
    <row r="5" spans="1:6" x14ac:dyDescent="0.25">
      <c r="B5" s="281" t="s">
        <v>619</v>
      </c>
      <c r="C5" s="281" t="s">
        <v>158</v>
      </c>
      <c r="D5" s="281" t="s">
        <v>527</v>
      </c>
      <c r="E5" s="281"/>
    </row>
    <row r="6" spans="1:6" x14ac:dyDescent="0.25">
      <c r="B6" t="s">
        <v>620</v>
      </c>
      <c r="C6" s="281">
        <v>4.1589999999999998</v>
      </c>
      <c r="D6" s="281">
        <v>6</v>
      </c>
      <c r="E6" s="281" t="s">
        <v>643</v>
      </c>
      <c r="F6" s="284"/>
    </row>
    <row r="7" spans="1:6" x14ac:dyDescent="0.25">
      <c r="B7" t="s">
        <v>18</v>
      </c>
      <c r="C7" s="283" t="s">
        <v>241</v>
      </c>
      <c r="D7" s="281">
        <v>2250</v>
      </c>
      <c r="E7" s="283" t="s">
        <v>633</v>
      </c>
      <c r="F7" s="284" t="s">
        <v>642</v>
      </c>
    </row>
    <row r="8" spans="1:6" x14ac:dyDescent="0.25">
      <c r="B8" t="s">
        <v>632</v>
      </c>
      <c r="C8" s="283" t="s">
        <v>243</v>
      </c>
      <c r="D8" s="281">
        <v>20</v>
      </c>
      <c r="E8" s="283" t="s">
        <v>633</v>
      </c>
      <c r="F8" s="284" t="s">
        <v>642</v>
      </c>
    </row>
    <row r="9" spans="1:6" x14ac:dyDescent="0.25">
      <c r="B9" t="s">
        <v>621</v>
      </c>
      <c r="C9" t="s">
        <v>622</v>
      </c>
      <c r="D9" t="s">
        <v>27</v>
      </c>
      <c r="E9" s="283" t="s">
        <v>634</v>
      </c>
      <c r="F9" s="284"/>
    </row>
    <row r="10" spans="1:6" x14ac:dyDescent="0.25">
      <c r="B10" t="s">
        <v>623</v>
      </c>
      <c r="C10" s="281">
        <v>1.1490276738967837</v>
      </c>
      <c r="D10" s="300">
        <f>C10*1000</f>
        <v>1149.0276738967837</v>
      </c>
      <c r="E10" s="281"/>
    </row>
    <row r="11" spans="1:6" x14ac:dyDescent="0.25">
      <c r="B11" t="s">
        <v>624</v>
      </c>
      <c r="C11" s="281">
        <v>1.0910620792819745</v>
      </c>
      <c r="D11" s="300">
        <f t="shared" ref="D11:D12" si="0">C11*1000</f>
        <v>1091.0620792819745</v>
      </c>
      <c r="E11" s="281"/>
    </row>
    <row r="12" spans="1:6" x14ac:dyDescent="0.25">
      <c r="B12" t="s">
        <v>625</v>
      </c>
      <c r="C12" s="281">
        <v>0.98167539267015702</v>
      </c>
      <c r="D12" s="300">
        <f t="shared" si="0"/>
        <v>981.67539267015707</v>
      </c>
      <c r="E12" s="281"/>
    </row>
    <row r="13" spans="1:6" x14ac:dyDescent="0.25">
      <c r="B13" t="s">
        <v>626</v>
      </c>
      <c r="C13" s="281"/>
      <c r="D13" s="281"/>
      <c r="E13" s="281" t="s">
        <v>635</v>
      </c>
    </row>
    <row r="14" spans="1:6" x14ac:dyDescent="0.25">
      <c r="B14" t="s">
        <v>627</v>
      </c>
      <c r="C14" s="281">
        <v>1.0658189977561705E-2</v>
      </c>
      <c r="D14" s="299">
        <f>C14*1000</f>
        <v>10.658189977561705</v>
      </c>
      <c r="E14" s="281"/>
    </row>
    <row r="15" spans="1:6" x14ac:dyDescent="0.25">
      <c r="B15" t="s">
        <v>628</v>
      </c>
      <c r="C15" s="281">
        <v>1.0097232610321616E-2</v>
      </c>
      <c r="D15" s="299">
        <f t="shared" ref="D15:D16" si="1">C15*1000</f>
        <v>10.097232610321615</v>
      </c>
      <c r="E15" s="281"/>
    </row>
    <row r="16" spans="1:6" x14ac:dyDescent="0.25">
      <c r="B16" t="s">
        <v>629</v>
      </c>
      <c r="C16" s="281">
        <v>9.0688107703814497E-3</v>
      </c>
      <c r="D16" s="299">
        <f t="shared" si="1"/>
        <v>9.0688107703814502</v>
      </c>
      <c r="E16" s="281"/>
    </row>
    <row r="17" spans="2:5" x14ac:dyDescent="0.25">
      <c r="B17" t="s">
        <v>636</v>
      </c>
      <c r="C17" s="281"/>
      <c r="D17" s="299"/>
      <c r="E17" s="281" t="s">
        <v>635</v>
      </c>
    </row>
    <row r="18" spans="2:5" x14ac:dyDescent="0.25">
      <c r="B18" t="s">
        <v>637</v>
      </c>
      <c r="C18">
        <v>9.6297681376215405E-6</v>
      </c>
      <c r="D18" s="304">
        <f>C18*1000</f>
        <v>9.6297681376215413E-3</v>
      </c>
    </row>
    <row r="19" spans="2:5" x14ac:dyDescent="0.25">
      <c r="B19" t="s">
        <v>638</v>
      </c>
      <c r="C19">
        <v>9.1623036649214652E-6</v>
      </c>
      <c r="D19" s="304">
        <f t="shared" ref="D19:D20" si="2">C19*1000</f>
        <v>9.1623036649214652E-3</v>
      </c>
    </row>
    <row r="20" spans="2:5" x14ac:dyDescent="0.25">
      <c r="B20" t="s">
        <v>639</v>
      </c>
      <c r="C20">
        <v>8.2273747195213163E-6</v>
      </c>
      <c r="D20" s="304">
        <f t="shared" si="2"/>
        <v>8.2273747195213166E-3</v>
      </c>
    </row>
    <row r="21" spans="2:5" x14ac:dyDescent="0.25">
      <c r="B21" t="s">
        <v>640</v>
      </c>
      <c r="E21" s="281" t="s">
        <v>641</v>
      </c>
    </row>
    <row r="22" spans="2:5" x14ac:dyDescent="0.25">
      <c r="B22" t="s">
        <v>630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BA121"/>
  <sheetViews>
    <sheetView topLeftCell="A14" zoomScale="120" zoomScaleNormal="120" workbookViewId="0">
      <selection activeCell="D9" sqref="F9"/>
    </sheetView>
  </sheetViews>
  <sheetFormatPr defaultColWidth="11" defaultRowHeight="15" x14ac:dyDescent="0.25"/>
  <cols>
    <col min="1" max="1" width="4.5" style="72" customWidth="1"/>
    <col min="2" max="2" width="11" style="72"/>
    <col min="3" max="3" width="27.625" style="72" customWidth="1"/>
    <col min="4" max="5" width="16.75" style="72" customWidth="1"/>
    <col min="6" max="21" width="12.5" style="72" customWidth="1"/>
    <col min="22" max="51" width="11" style="72"/>
    <col min="52" max="52" width="101.375" style="104" hidden="1" customWidth="1"/>
    <col min="53" max="53" width="182" style="104" hidden="1" customWidth="1"/>
    <col min="54" max="16384" width="11" style="72"/>
  </cols>
  <sheetData>
    <row r="1" spans="1:52" ht="21" x14ac:dyDescent="0.35">
      <c r="A1" s="3" t="s">
        <v>202</v>
      </c>
      <c r="B1" s="258"/>
      <c r="C1" s="258"/>
      <c r="D1" s="98"/>
      <c r="E1" s="258"/>
      <c r="F1" s="258"/>
      <c r="G1" s="258"/>
      <c r="H1" s="258"/>
      <c r="I1" s="258"/>
      <c r="J1" s="258"/>
      <c r="K1" s="258"/>
      <c r="L1" s="258"/>
      <c r="M1" s="258"/>
      <c r="N1" s="258"/>
      <c r="O1" s="258"/>
      <c r="P1" s="258"/>
      <c r="Q1" s="258"/>
      <c r="R1" s="258"/>
      <c r="S1" s="258"/>
      <c r="T1" s="258"/>
      <c r="U1" s="258"/>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row>
    <row r="2" spans="1:52" x14ac:dyDescent="0.25">
      <c r="A2" s="98" t="s">
        <v>203</v>
      </c>
      <c r="B2" s="258"/>
      <c r="C2" s="258"/>
      <c r="D2" s="98"/>
      <c r="E2" s="258"/>
      <c r="F2" s="258"/>
      <c r="G2" s="258"/>
      <c r="H2" s="258"/>
      <c r="I2" s="258"/>
      <c r="J2" s="258"/>
      <c r="K2" s="258"/>
      <c r="L2" s="258"/>
      <c r="M2" s="258"/>
      <c r="N2" s="258"/>
      <c r="O2" s="258"/>
      <c r="P2" s="258"/>
      <c r="Q2" s="258"/>
      <c r="R2" s="258"/>
      <c r="S2" s="258"/>
      <c r="T2" s="258"/>
      <c r="U2" s="258"/>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row>
    <row r="3" spans="1:52" x14ac:dyDescent="0.25">
      <c r="A3" s="258"/>
      <c r="B3" s="258"/>
      <c r="C3" s="258"/>
      <c r="D3" s="258"/>
      <c r="E3" s="258"/>
      <c r="F3" s="258"/>
      <c r="G3" s="258"/>
      <c r="H3" s="258"/>
      <c r="I3" s="258"/>
      <c r="J3" s="258"/>
      <c r="K3" s="258"/>
      <c r="L3" s="258"/>
      <c r="M3" s="258"/>
      <c r="N3" s="258"/>
      <c r="O3" s="258"/>
      <c r="P3" s="258"/>
      <c r="Q3" s="258"/>
      <c r="R3" s="258"/>
      <c r="S3" s="258"/>
      <c r="T3" s="258"/>
      <c r="U3" s="258"/>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row>
    <row r="4" spans="1:52" ht="21" customHeight="1" x14ac:dyDescent="0.25">
      <c r="A4" s="258"/>
      <c r="B4" s="350" t="s">
        <v>204</v>
      </c>
      <c r="C4" s="351"/>
      <c r="D4" s="351"/>
      <c r="E4" s="351"/>
      <c r="F4" s="351"/>
      <c r="G4" s="351"/>
      <c r="H4" s="351"/>
      <c r="I4" s="351"/>
      <c r="J4" s="351"/>
      <c r="K4" s="352"/>
      <c r="L4" s="74"/>
      <c r="M4" s="74"/>
      <c r="N4" s="74"/>
      <c r="O4" s="74"/>
      <c r="P4" s="258"/>
      <c r="Q4" s="258"/>
      <c r="R4" s="258"/>
      <c r="S4" s="258"/>
      <c r="T4" s="258"/>
      <c r="U4" s="258"/>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row>
    <row r="5" spans="1:52" ht="15.75" customHeight="1" x14ac:dyDescent="0.25">
      <c r="A5" s="258"/>
      <c r="B5" s="353" t="s">
        <v>205</v>
      </c>
      <c r="C5" s="353"/>
      <c r="D5" s="354" t="s">
        <v>8</v>
      </c>
      <c r="E5" s="355"/>
      <c r="F5" s="355"/>
      <c r="G5" s="355"/>
      <c r="H5" s="355"/>
      <c r="I5" s="355"/>
      <c r="J5" s="355"/>
      <c r="K5" s="356"/>
      <c r="L5" s="243"/>
      <c r="M5" s="74"/>
      <c r="N5" s="74"/>
      <c r="O5" s="74"/>
      <c r="P5" s="258"/>
      <c r="Q5" s="258"/>
      <c r="R5" s="258"/>
      <c r="S5" s="258"/>
      <c r="T5" s="258"/>
      <c r="U5" s="258"/>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row>
    <row r="6" spans="1:52" ht="15.75" customHeight="1" x14ac:dyDescent="0.25">
      <c r="A6" s="258"/>
      <c r="B6" s="353" t="s">
        <v>206</v>
      </c>
      <c r="C6" s="353"/>
      <c r="D6" s="357">
        <v>44427</v>
      </c>
      <c r="E6" s="358"/>
      <c r="F6" s="358"/>
      <c r="G6" s="358"/>
      <c r="H6" s="358"/>
      <c r="I6" s="358"/>
      <c r="J6" s="358"/>
      <c r="K6" s="359"/>
      <c r="L6" s="243"/>
      <c r="M6" s="74"/>
      <c r="N6" s="74"/>
      <c r="O6" s="74"/>
      <c r="P6" s="258"/>
      <c r="Q6" s="258"/>
      <c r="R6" s="258"/>
      <c r="S6" s="258"/>
      <c r="T6" s="258"/>
      <c r="U6" s="258"/>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row>
    <row r="7" spans="1:52" ht="15.75" customHeight="1" x14ac:dyDescent="0.25">
      <c r="A7" s="258"/>
      <c r="B7" s="360" t="s">
        <v>207</v>
      </c>
      <c r="C7" s="361"/>
      <c r="D7" s="354" t="s">
        <v>208</v>
      </c>
      <c r="E7" s="355"/>
      <c r="F7" s="355"/>
      <c r="G7" s="355"/>
      <c r="H7" s="355"/>
      <c r="I7" s="355"/>
      <c r="J7" s="355"/>
      <c r="K7" s="356"/>
      <c r="L7" s="243"/>
      <c r="M7" s="74"/>
      <c r="N7" s="74"/>
      <c r="O7" s="255" t="s">
        <v>209</v>
      </c>
      <c r="P7" s="256"/>
      <c r="Q7" s="256"/>
      <c r="R7" s="258"/>
      <c r="S7" s="258"/>
      <c r="T7" s="258"/>
      <c r="U7" s="258"/>
      <c r="V7" s="259"/>
      <c r="W7" s="259"/>
      <c r="X7" s="259"/>
      <c r="Y7" s="259"/>
      <c r="Z7" s="259"/>
      <c r="AA7" s="259"/>
      <c r="AB7" s="259"/>
      <c r="AC7" s="259"/>
      <c r="AD7" s="259"/>
      <c r="AE7" s="259"/>
      <c r="AF7" s="259"/>
      <c r="AG7" s="259"/>
      <c r="AH7" s="259"/>
      <c r="AI7" s="259"/>
      <c r="AJ7" s="259"/>
      <c r="AK7" s="259"/>
      <c r="AL7" s="259"/>
      <c r="AM7" s="259"/>
      <c r="AN7" s="259"/>
      <c r="AO7" s="259"/>
      <c r="AP7" s="259"/>
      <c r="AQ7" s="259"/>
      <c r="AR7" s="259"/>
      <c r="AS7" s="259"/>
      <c r="AT7" s="259"/>
      <c r="AU7" s="259"/>
      <c r="AV7" s="259"/>
      <c r="AW7" s="259"/>
      <c r="AX7" s="259"/>
      <c r="AY7" s="259"/>
    </row>
    <row r="8" spans="1:52" x14ac:dyDescent="0.25">
      <c r="A8" s="258"/>
      <c r="B8" s="371" t="s">
        <v>51</v>
      </c>
      <c r="C8" s="372"/>
      <c r="D8" s="343" t="s">
        <v>210</v>
      </c>
      <c r="E8" s="344"/>
      <c r="F8" s="344"/>
      <c r="G8" s="344"/>
      <c r="H8" s="344"/>
      <c r="I8" s="344"/>
      <c r="J8" s="344"/>
      <c r="K8" s="345"/>
      <c r="L8" s="244"/>
      <c r="M8" s="74"/>
      <c r="N8" s="74"/>
      <c r="O8" s="342" t="s">
        <v>211</v>
      </c>
      <c r="P8" s="342"/>
      <c r="Q8" s="342"/>
      <c r="R8" s="258"/>
      <c r="S8" s="258"/>
      <c r="T8" s="258"/>
      <c r="U8" s="258"/>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row>
    <row r="9" spans="1:52" ht="15.75" customHeight="1" x14ac:dyDescent="0.25">
      <c r="A9" s="258"/>
      <c r="B9" s="373"/>
      <c r="C9" s="374"/>
      <c r="D9" s="343" t="s">
        <v>212</v>
      </c>
      <c r="E9" s="344"/>
      <c r="F9" s="344"/>
      <c r="G9" s="344"/>
      <c r="H9" s="344"/>
      <c r="I9" s="344"/>
      <c r="J9" s="344"/>
      <c r="K9" s="345"/>
      <c r="L9" s="244"/>
      <c r="M9" s="244"/>
      <c r="N9" s="244"/>
      <c r="O9" s="342"/>
      <c r="P9" s="342"/>
      <c r="Q9" s="342"/>
      <c r="R9" s="258"/>
      <c r="S9" s="258"/>
      <c r="T9" s="258"/>
      <c r="U9" s="258"/>
      <c r="V9" s="259"/>
      <c r="W9" s="259"/>
      <c r="X9" s="259"/>
      <c r="Y9" s="259"/>
      <c r="Z9" s="259"/>
      <c r="AA9" s="259"/>
      <c r="AB9" s="259"/>
      <c r="AC9" s="259"/>
      <c r="AD9" s="259"/>
      <c r="AE9" s="259"/>
      <c r="AF9" s="259"/>
      <c r="AG9" s="259"/>
      <c r="AH9" s="259"/>
      <c r="AI9" s="259"/>
      <c r="AJ9" s="259"/>
      <c r="AK9" s="259"/>
      <c r="AL9" s="259"/>
      <c r="AM9" s="259"/>
      <c r="AN9" s="259"/>
      <c r="AO9" s="259"/>
      <c r="AP9" s="259"/>
      <c r="AQ9" s="259"/>
      <c r="AR9" s="259"/>
      <c r="AS9" s="259"/>
      <c r="AT9" s="259"/>
      <c r="AU9" s="259"/>
      <c r="AV9" s="259"/>
      <c r="AW9" s="259"/>
      <c r="AX9" s="259"/>
      <c r="AY9" s="259"/>
    </row>
    <row r="10" spans="1:52" ht="15.75" customHeight="1" x14ac:dyDescent="0.25">
      <c r="A10" s="258"/>
      <c r="B10" s="346" t="s">
        <v>55</v>
      </c>
      <c r="C10" s="346"/>
      <c r="D10" s="347" t="s">
        <v>213</v>
      </c>
      <c r="E10" s="348"/>
      <c r="F10" s="348"/>
      <c r="G10" s="348"/>
      <c r="H10" s="348"/>
      <c r="I10" s="348"/>
      <c r="J10" s="348"/>
      <c r="K10" s="349"/>
      <c r="L10" s="73"/>
      <c r="M10" s="73"/>
      <c r="N10" s="73"/>
      <c r="O10" s="342"/>
      <c r="P10" s="342"/>
      <c r="Q10" s="342"/>
      <c r="R10" s="258"/>
      <c r="S10" s="258"/>
      <c r="T10" s="258"/>
      <c r="U10" s="258"/>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c r="AW10" s="259"/>
      <c r="AX10" s="259"/>
      <c r="AY10" s="259"/>
    </row>
    <row r="11" spans="1:52" ht="15.75" customHeight="1" x14ac:dyDescent="0.25">
      <c r="A11" s="258"/>
      <c r="B11" s="346" t="s">
        <v>57</v>
      </c>
      <c r="C11" s="346"/>
      <c r="D11" s="347" t="s">
        <v>212</v>
      </c>
      <c r="E11" s="348"/>
      <c r="F11" s="348"/>
      <c r="G11" s="348"/>
      <c r="H11" s="348"/>
      <c r="I11" s="348"/>
      <c r="J11" s="348"/>
      <c r="K11" s="349"/>
      <c r="L11" s="243"/>
      <c r="M11" s="243"/>
      <c r="N11" s="243"/>
      <c r="O11" s="257" t="s">
        <v>214</v>
      </c>
      <c r="P11" s="258"/>
      <c r="Q11" s="258"/>
      <c r="R11" s="258"/>
      <c r="S11" s="258"/>
      <c r="T11" s="258"/>
      <c r="U11" s="258"/>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c r="AV11" s="259"/>
      <c r="AW11" s="259"/>
      <c r="AX11" s="259"/>
      <c r="AY11" s="259"/>
    </row>
    <row r="12" spans="1:52" ht="179.45" customHeight="1" x14ac:dyDescent="0.25">
      <c r="A12" s="258"/>
      <c r="B12" s="362" t="s">
        <v>60</v>
      </c>
      <c r="C12" s="362"/>
      <c r="D12" s="363" t="s">
        <v>215</v>
      </c>
      <c r="E12" s="364"/>
      <c r="F12" s="364"/>
      <c r="G12" s="364"/>
      <c r="H12" s="364"/>
      <c r="I12" s="364"/>
      <c r="J12" s="364"/>
      <c r="K12" s="365"/>
      <c r="L12" s="244"/>
      <c r="M12" s="244"/>
      <c r="N12" s="244"/>
      <c r="O12" s="244" t="s">
        <v>9</v>
      </c>
      <c r="P12" s="258"/>
      <c r="Q12" s="258"/>
      <c r="R12" s="258"/>
      <c r="S12" s="258"/>
      <c r="T12" s="258"/>
      <c r="U12" s="258"/>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259"/>
      <c r="AX12" s="259"/>
      <c r="AY12" s="259"/>
      <c r="AZ12" s="105" t="str">
        <f>D12</f>
        <v>Onshore wind power is a mature technology, deployed worldwide. Asia, Europe and the United States show the highest total capacity. Wind turbines have grown significantly over the past decades, resulting in increased yield and at the same time cost reductions. The larger the diameter of a wind turbine rotor, the larger the swept area, which increases quadratically with the length of a blade. This makes upscaling both technically and economically attractive. Usually, legal restrictions to tip height are in place, limiting the size of wind turbines. In order to benefit from further economies of scale, turbines are combined in wind parks. The turbine blades are driving a hub attached to an electric generator, located in the nacelle. The power is fed into the grid. Variability of the wind regime makes that the electricity supply capacity varies as well, from 0 MW in low wind or extremely stormy periods, up to maximum capacity at wind speeds within the design window. The yield of wind turbines strongly depends on the average annual wind conditions. Different wind classes require different turbine types. In this series of factsheets however, wind turbine characteristics do not vary in costs, but the main variable used is the yield, which depends on the regional wind speed. Six wind speed regions are defined for the Netherlands. The main information source for current onshore wind data is a meta study, performed in the Dutch subsidy scheme SDE++ (PBL 2021b). Future projections are based on combining projections from other reports with the SDE++ parameters.</v>
      </c>
    </row>
    <row r="13" spans="1:52" ht="15.75" customHeight="1" x14ac:dyDescent="0.25">
      <c r="A13" s="258"/>
      <c r="B13" s="366" t="s">
        <v>10</v>
      </c>
      <c r="C13" s="366"/>
      <c r="D13" s="367" t="s">
        <v>67</v>
      </c>
      <c r="E13" s="358"/>
      <c r="F13" s="358"/>
      <c r="G13" s="358"/>
      <c r="H13" s="358"/>
      <c r="I13" s="358"/>
      <c r="J13" s="358"/>
      <c r="K13" s="359"/>
      <c r="L13" s="243"/>
      <c r="M13" s="243"/>
      <c r="N13" s="243"/>
      <c r="O13" s="243"/>
      <c r="P13" s="258"/>
      <c r="Q13" s="258"/>
      <c r="R13" s="258"/>
      <c r="S13" s="258"/>
      <c r="T13" s="258"/>
      <c r="U13" s="258"/>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c r="AW13" s="259"/>
      <c r="AX13" s="259"/>
      <c r="AY13" s="259"/>
    </row>
    <row r="14" spans="1:52" ht="61.15" customHeight="1" x14ac:dyDescent="0.25">
      <c r="A14" s="258"/>
      <c r="B14" s="366"/>
      <c r="C14" s="366"/>
      <c r="D14" s="368" t="s">
        <v>216</v>
      </c>
      <c r="E14" s="369"/>
      <c r="F14" s="369"/>
      <c r="G14" s="369"/>
      <c r="H14" s="369"/>
      <c r="I14" s="369"/>
      <c r="J14" s="369"/>
      <c r="K14" s="370"/>
      <c r="L14" s="244"/>
      <c r="M14" s="244"/>
      <c r="N14" s="244"/>
      <c r="O14" s="244"/>
      <c r="P14" s="258"/>
      <c r="Q14" s="258"/>
      <c r="R14" s="258"/>
      <c r="S14" s="258"/>
      <c r="T14" s="258"/>
      <c r="U14" s="258"/>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105" t="str">
        <f>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5" spans="1:52" ht="21" customHeight="1" x14ac:dyDescent="0.25">
      <c r="A15" s="258"/>
      <c r="B15" s="350" t="s">
        <v>85</v>
      </c>
      <c r="C15" s="351"/>
      <c r="D15" s="351"/>
      <c r="E15" s="351"/>
      <c r="F15" s="351"/>
      <c r="G15" s="351"/>
      <c r="H15" s="351"/>
      <c r="I15" s="351"/>
      <c r="J15" s="351"/>
      <c r="K15" s="352"/>
      <c r="L15" s="74"/>
      <c r="M15" s="74"/>
      <c r="N15" s="74"/>
      <c r="O15" s="74"/>
      <c r="P15" s="258"/>
      <c r="Q15" s="258"/>
      <c r="R15" s="258"/>
      <c r="S15" s="258"/>
      <c r="T15" s="258"/>
      <c r="U15" s="258"/>
      <c r="V15" s="259"/>
      <c r="W15" s="259"/>
      <c r="X15" s="259"/>
      <c r="Y15" s="259"/>
      <c r="Z15" s="259"/>
      <c r="AA15" s="259"/>
      <c r="AB15" s="259"/>
      <c r="AC15" s="259"/>
      <c r="AD15" s="259"/>
      <c r="AE15" s="259"/>
      <c r="AF15" s="259"/>
      <c r="AG15" s="259"/>
      <c r="AH15" s="259"/>
      <c r="AI15" s="259"/>
      <c r="AJ15" s="259"/>
      <c r="AK15" s="259"/>
      <c r="AL15" s="259"/>
      <c r="AM15" s="259"/>
      <c r="AN15" s="259"/>
      <c r="AO15" s="259"/>
      <c r="AP15" s="259"/>
      <c r="AQ15" s="259"/>
      <c r="AR15" s="259"/>
      <c r="AS15" s="259"/>
      <c r="AT15" s="259"/>
      <c r="AU15" s="259"/>
      <c r="AV15" s="259"/>
      <c r="AW15" s="259"/>
      <c r="AX15" s="259"/>
      <c r="AY15" s="259"/>
    </row>
    <row r="16" spans="1:52" ht="15" customHeight="1" x14ac:dyDescent="0.25">
      <c r="A16" s="258"/>
      <c r="B16" s="390" t="s">
        <v>86</v>
      </c>
      <c r="C16" s="390"/>
      <c r="D16" s="391" t="s">
        <v>217</v>
      </c>
      <c r="E16" s="392"/>
      <c r="F16" s="392"/>
      <c r="G16" s="392"/>
      <c r="H16" s="392"/>
      <c r="I16" s="392"/>
      <c r="J16" s="392"/>
      <c r="K16" s="393"/>
      <c r="L16" s="74"/>
      <c r="M16" s="74"/>
      <c r="N16" s="74"/>
      <c r="O16" s="74"/>
      <c r="P16" s="258"/>
      <c r="Q16" s="258"/>
      <c r="R16" s="258"/>
      <c r="S16" s="258"/>
      <c r="T16" s="258"/>
      <c r="U16" s="258"/>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row>
    <row r="17" spans="1:51" ht="15" customHeight="1" x14ac:dyDescent="0.25">
      <c r="A17" s="258"/>
      <c r="B17" s="390"/>
      <c r="C17" s="390"/>
      <c r="D17" s="394"/>
      <c r="E17" s="395"/>
      <c r="F17" s="395"/>
      <c r="G17" s="395"/>
      <c r="H17" s="395"/>
      <c r="I17" s="395"/>
      <c r="J17" s="395"/>
      <c r="K17" s="396"/>
      <c r="L17" s="74"/>
      <c r="M17" s="74"/>
      <c r="N17" s="74"/>
      <c r="O17" s="74"/>
      <c r="P17" s="258"/>
      <c r="Q17" s="258"/>
      <c r="R17" s="258"/>
      <c r="S17" s="258"/>
      <c r="T17" s="258"/>
      <c r="U17" s="258"/>
      <c r="V17" s="259"/>
      <c r="W17" s="259"/>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V17" s="259"/>
      <c r="AW17" s="259"/>
      <c r="AX17" s="259"/>
      <c r="AY17" s="259"/>
    </row>
    <row r="18" spans="1:51" x14ac:dyDescent="0.25">
      <c r="A18" s="258"/>
      <c r="B18" s="397"/>
      <c r="C18" s="397"/>
      <c r="D18" s="398" t="s">
        <v>218</v>
      </c>
      <c r="E18" s="398"/>
      <c r="F18" s="398"/>
      <c r="G18" s="144" t="s">
        <v>219</v>
      </c>
      <c r="H18" s="144" t="s">
        <v>220</v>
      </c>
      <c r="I18" s="144" t="s">
        <v>221</v>
      </c>
      <c r="J18" s="144" t="s">
        <v>222</v>
      </c>
      <c r="K18" s="144" t="s">
        <v>223</v>
      </c>
      <c r="L18" s="75"/>
      <c r="M18" s="75"/>
      <c r="N18" s="75"/>
      <c r="O18" s="75"/>
      <c r="P18" s="258"/>
      <c r="Q18" s="258"/>
      <c r="R18" s="258"/>
      <c r="S18" s="258"/>
      <c r="T18" s="258"/>
      <c r="U18" s="258"/>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59"/>
      <c r="AU18" s="259"/>
      <c r="AV18" s="259"/>
      <c r="AW18" s="259"/>
      <c r="AX18" s="259"/>
      <c r="AY18" s="259"/>
    </row>
    <row r="19" spans="1:51" ht="15.75" customHeight="1" x14ac:dyDescent="0.25">
      <c r="A19" s="258"/>
      <c r="B19" s="390" t="s">
        <v>11</v>
      </c>
      <c r="C19" s="390"/>
      <c r="D19" s="399" t="str">
        <f>IF(D16="Please select","Select Functional Unit above",D16)</f>
        <v>MW</v>
      </c>
      <c r="E19" s="399"/>
      <c r="F19" s="399"/>
      <c r="G19" s="310">
        <v>4</v>
      </c>
      <c r="H19" s="91"/>
      <c r="I19" s="91"/>
      <c r="J19" s="91"/>
      <c r="K19" s="91"/>
      <c r="L19" s="76"/>
      <c r="M19" s="76"/>
      <c r="N19" s="76"/>
      <c r="O19" s="76"/>
      <c r="P19" s="258"/>
      <c r="Q19" s="258"/>
      <c r="R19" s="258"/>
      <c r="S19" s="258"/>
      <c r="T19" s="258"/>
      <c r="U19" s="258"/>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row>
    <row r="20" spans="1:51" ht="15.75" customHeight="1" x14ac:dyDescent="0.25">
      <c r="A20" s="258"/>
      <c r="B20" s="390"/>
      <c r="C20" s="390"/>
      <c r="D20" s="399"/>
      <c r="E20" s="399"/>
      <c r="F20" s="399"/>
      <c r="G20" s="101" t="s">
        <v>225</v>
      </c>
      <c r="H20" s="101" t="s">
        <v>226</v>
      </c>
      <c r="I20" s="101" t="s">
        <v>226</v>
      </c>
      <c r="J20" s="101" t="s">
        <v>226</v>
      </c>
      <c r="K20" s="101" t="s">
        <v>226</v>
      </c>
      <c r="L20" s="76"/>
      <c r="M20" s="76"/>
      <c r="N20" s="76"/>
      <c r="O20" s="76"/>
      <c r="P20" s="258"/>
      <c r="Q20" s="258"/>
      <c r="R20" s="258"/>
      <c r="S20" s="258"/>
      <c r="T20" s="258"/>
      <c r="U20" s="258"/>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row>
    <row r="21" spans="1:51" ht="15.75" customHeight="1" x14ac:dyDescent="0.25">
      <c r="A21" s="258"/>
      <c r="B21" s="397"/>
      <c r="C21" s="397"/>
      <c r="D21" s="409" t="s">
        <v>227</v>
      </c>
      <c r="E21" s="410"/>
      <c r="F21" s="145" t="s">
        <v>0</v>
      </c>
      <c r="G21" s="376" t="s">
        <v>228</v>
      </c>
      <c r="H21" s="376"/>
      <c r="I21" s="376"/>
      <c r="J21" s="376"/>
      <c r="K21" s="376"/>
      <c r="L21" s="375">
        <v>2030</v>
      </c>
      <c r="M21" s="375"/>
      <c r="N21" s="375"/>
      <c r="O21" s="375"/>
      <c r="P21" s="375"/>
      <c r="Q21" s="376">
        <v>2050</v>
      </c>
      <c r="R21" s="376"/>
      <c r="S21" s="376"/>
      <c r="T21" s="376"/>
      <c r="U21" s="376"/>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row>
    <row r="22" spans="1:51" ht="15.75" customHeight="1" x14ac:dyDescent="0.25">
      <c r="A22" s="258"/>
      <c r="B22" s="377" t="s">
        <v>13</v>
      </c>
      <c r="C22" s="378"/>
      <c r="D22" s="383" t="s">
        <v>229</v>
      </c>
      <c r="E22" s="384"/>
      <c r="F22" s="387" t="s">
        <v>527</v>
      </c>
      <c r="G22" s="144" t="s">
        <v>219</v>
      </c>
      <c r="H22" s="144" t="s">
        <v>220</v>
      </c>
      <c r="I22" s="144" t="s">
        <v>221</v>
      </c>
      <c r="J22" s="144" t="s">
        <v>222</v>
      </c>
      <c r="K22" s="144" t="s">
        <v>223</v>
      </c>
      <c r="L22" s="143" t="s">
        <v>219</v>
      </c>
      <c r="M22" s="143" t="s">
        <v>220</v>
      </c>
      <c r="N22" s="143" t="s">
        <v>221</v>
      </c>
      <c r="O22" s="143" t="s">
        <v>222</v>
      </c>
      <c r="P22" s="143" t="s">
        <v>223</v>
      </c>
      <c r="Q22" s="144" t="s">
        <v>219</v>
      </c>
      <c r="R22" s="144" t="s">
        <v>220</v>
      </c>
      <c r="S22" s="144" t="s">
        <v>221</v>
      </c>
      <c r="T22" s="144" t="s">
        <v>222</v>
      </c>
      <c r="U22" s="144" t="s">
        <v>223</v>
      </c>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row>
    <row r="23" spans="1:51" ht="15" customHeight="1" x14ac:dyDescent="0.25">
      <c r="A23" s="258"/>
      <c r="B23" s="379"/>
      <c r="C23" s="380"/>
      <c r="D23" s="385"/>
      <c r="E23" s="386"/>
      <c r="F23" s="388"/>
      <c r="G23" s="212">
        <v>6</v>
      </c>
      <c r="H23" s="91"/>
      <c r="I23" s="91"/>
      <c r="J23" s="91"/>
      <c r="K23" s="91"/>
      <c r="L23" s="212">
        <v>11</v>
      </c>
      <c r="M23" s="100"/>
      <c r="N23" s="100"/>
      <c r="O23" s="100"/>
      <c r="P23" s="100"/>
      <c r="Q23" s="212">
        <v>15</v>
      </c>
      <c r="R23" s="213">
        <v>8</v>
      </c>
      <c r="S23" s="213">
        <v>16</v>
      </c>
      <c r="T23" s="148" t="s">
        <v>230</v>
      </c>
      <c r="U23" s="100" t="s">
        <v>231</v>
      </c>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row>
    <row r="24" spans="1:51" x14ac:dyDescent="0.25">
      <c r="A24" s="258"/>
      <c r="B24" s="381"/>
      <c r="C24" s="382"/>
      <c r="D24" s="385"/>
      <c r="E24" s="386"/>
      <c r="F24" s="389"/>
      <c r="G24" s="101" t="s">
        <v>232</v>
      </c>
      <c r="H24" s="101" t="s">
        <v>226</v>
      </c>
      <c r="I24" s="101" t="s">
        <v>226</v>
      </c>
      <c r="J24" s="101" t="s">
        <v>226</v>
      </c>
      <c r="K24" s="101" t="s">
        <v>226</v>
      </c>
      <c r="L24" s="101" t="s">
        <v>233</v>
      </c>
      <c r="M24" s="101" t="s">
        <v>226</v>
      </c>
      <c r="N24" s="101" t="s">
        <v>226</v>
      </c>
      <c r="O24" s="101" t="s">
        <v>226</v>
      </c>
      <c r="P24" s="101" t="s">
        <v>226</v>
      </c>
      <c r="Q24" s="101" t="s">
        <v>234</v>
      </c>
      <c r="R24" s="101" t="s">
        <v>235</v>
      </c>
      <c r="S24" s="101" t="s">
        <v>236</v>
      </c>
      <c r="T24" s="101" t="s">
        <v>237</v>
      </c>
      <c r="U24" s="101" t="s">
        <v>238</v>
      </c>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row>
    <row r="25" spans="1:51" ht="15.75" customHeight="1" x14ac:dyDescent="0.25">
      <c r="A25" s="258"/>
      <c r="B25" s="390" t="s">
        <v>15</v>
      </c>
      <c r="C25" s="390"/>
      <c r="D25" s="391" t="s">
        <v>239</v>
      </c>
      <c r="E25" s="393"/>
      <c r="F25" s="400" t="s">
        <v>16</v>
      </c>
      <c r="G25" s="90"/>
      <c r="H25" s="91"/>
      <c r="I25" s="91"/>
      <c r="J25" s="91"/>
      <c r="K25" s="91"/>
      <c r="L25" s="90"/>
      <c r="M25" s="100"/>
      <c r="N25" s="100"/>
      <c r="O25" s="100"/>
      <c r="P25" s="100"/>
      <c r="Q25" s="90"/>
      <c r="R25" s="100"/>
      <c r="S25" s="100"/>
      <c r="T25" s="100"/>
      <c r="U25" s="100"/>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row>
    <row r="26" spans="1:51" ht="15.75" customHeight="1" x14ac:dyDescent="0.25">
      <c r="A26" s="258"/>
      <c r="B26" s="390"/>
      <c r="C26" s="390"/>
      <c r="D26" s="394"/>
      <c r="E26" s="396"/>
      <c r="F26" s="401"/>
      <c r="G26" s="101" t="s">
        <v>226</v>
      </c>
      <c r="H26" s="101" t="s">
        <v>226</v>
      </c>
      <c r="I26" s="101" t="s">
        <v>226</v>
      </c>
      <c r="J26" s="101" t="s">
        <v>226</v>
      </c>
      <c r="K26" s="101" t="s">
        <v>226</v>
      </c>
      <c r="L26" s="101" t="s">
        <v>226</v>
      </c>
      <c r="M26" s="101" t="s">
        <v>226</v>
      </c>
      <c r="N26" s="101" t="s">
        <v>226</v>
      </c>
      <c r="O26" s="101" t="s">
        <v>226</v>
      </c>
      <c r="P26" s="101" t="s">
        <v>226</v>
      </c>
      <c r="Q26" s="101" t="s">
        <v>226</v>
      </c>
      <c r="R26" s="101" t="s">
        <v>226</v>
      </c>
      <c r="S26" s="101" t="s">
        <v>226</v>
      </c>
      <c r="T26" s="101" t="s">
        <v>226</v>
      </c>
      <c r="U26" s="101" t="s">
        <v>226</v>
      </c>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row>
    <row r="27" spans="1:51" x14ac:dyDescent="0.25">
      <c r="A27" s="258"/>
      <c r="B27" s="402" t="s">
        <v>102</v>
      </c>
      <c r="C27" s="402"/>
      <c r="D27" s="403" t="s">
        <v>240</v>
      </c>
      <c r="E27" s="404"/>
      <c r="F27" s="404"/>
      <c r="G27" s="404"/>
      <c r="H27" s="404"/>
      <c r="I27" s="404"/>
      <c r="J27" s="404"/>
      <c r="K27" s="405"/>
      <c r="L27" s="209"/>
      <c r="M27" s="78"/>
      <c r="N27" s="78"/>
      <c r="O27" s="78"/>
      <c r="P27" s="258"/>
      <c r="Q27" s="258"/>
      <c r="R27" s="258"/>
      <c r="S27" s="258"/>
      <c r="T27" s="258"/>
      <c r="U27" s="258"/>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row>
    <row r="28" spans="1:51" x14ac:dyDescent="0.25">
      <c r="A28" s="258"/>
      <c r="B28" s="402" t="s">
        <v>18</v>
      </c>
      <c r="C28" s="402"/>
      <c r="D28" s="406">
        <v>2250</v>
      </c>
      <c r="E28" s="407"/>
      <c r="F28" s="407"/>
      <c r="G28" s="407"/>
      <c r="H28" s="407"/>
      <c r="I28" s="407"/>
      <c r="J28" s="407"/>
      <c r="K28" s="408"/>
      <c r="L28" s="78"/>
      <c r="M28" s="78"/>
      <c r="N28" s="78"/>
      <c r="O28" s="78"/>
      <c r="P28" s="258"/>
      <c r="Q28" s="258"/>
      <c r="R28" s="258"/>
      <c r="S28" s="258"/>
      <c r="T28" s="258"/>
      <c r="U28" s="258"/>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row>
    <row r="29" spans="1:51" ht="15" customHeight="1" x14ac:dyDescent="0.25">
      <c r="A29" s="258"/>
      <c r="B29" s="402" t="s">
        <v>20</v>
      </c>
      <c r="C29" s="402"/>
      <c r="D29" s="354" t="s">
        <v>21</v>
      </c>
      <c r="E29" s="355"/>
      <c r="F29" s="355"/>
      <c r="G29" s="355"/>
      <c r="H29" s="355"/>
      <c r="I29" s="355"/>
      <c r="J29" s="355"/>
      <c r="K29" s="356"/>
      <c r="L29" s="78"/>
      <c r="M29" s="78"/>
      <c r="N29" s="78"/>
      <c r="O29" s="78"/>
      <c r="P29" s="258"/>
      <c r="Q29" s="258"/>
      <c r="R29" s="258"/>
      <c r="S29" s="258"/>
      <c r="T29" s="258"/>
      <c r="U29" s="258"/>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row>
    <row r="30" spans="1:51" ht="15.75" customHeight="1" x14ac:dyDescent="0.25">
      <c r="A30" s="258"/>
      <c r="B30" s="402" t="s">
        <v>108</v>
      </c>
      <c r="C30" s="402"/>
      <c r="D30" s="403" t="s">
        <v>242</v>
      </c>
      <c r="E30" s="404"/>
      <c r="F30" s="404"/>
      <c r="G30" s="404"/>
      <c r="H30" s="404"/>
      <c r="I30" s="404"/>
      <c r="J30" s="404"/>
      <c r="K30" s="405"/>
      <c r="L30" s="77"/>
      <c r="M30" s="77"/>
      <c r="N30" s="77"/>
      <c r="O30" s="77"/>
      <c r="P30" s="258"/>
      <c r="Q30" s="258"/>
      <c r="R30" s="258"/>
      <c r="S30" s="258"/>
      <c r="T30" s="258"/>
      <c r="U30" s="258"/>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row>
    <row r="31" spans="1:51" x14ac:dyDescent="0.25">
      <c r="A31" s="258"/>
      <c r="B31" s="402" t="s">
        <v>22</v>
      </c>
      <c r="C31" s="402"/>
      <c r="D31" s="403">
        <v>20</v>
      </c>
      <c r="E31" s="404"/>
      <c r="F31" s="404"/>
      <c r="G31" s="404"/>
      <c r="H31" s="404"/>
      <c r="I31" s="404"/>
      <c r="J31" s="404"/>
      <c r="K31" s="405"/>
      <c r="L31" s="78"/>
      <c r="M31" s="78"/>
      <c r="N31" s="78"/>
      <c r="O31" s="78"/>
      <c r="P31" s="258"/>
      <c r="Q31" s="258"/>
      <c r="R31" s="258"/>
      <c r="S31" s="258"/>
      <c r="T31" s="258"/>
      <c r="U31" s="99" t="s">
        <v>244</v>
      </c>
      <c r="V31" s="259" t="s">
        <v>245</v>
      </c>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row>
    <row r="32" spans="1:51" x14ac:dyDescent="0.25">
      <c r="A32" s="258"/>
      <c r="B32" s="402" t="s">
        <v>23</v>
      </c>
      <c r="C32" s="402"/>
      <c r="D32" s="403" t="s">
        <v>242</v>
      </c>
      <c r="E32" s="404"/>
      <c r="F32" s="404"/>
      <c r="G32" s="404"/>
      <c r="H32" s="404"/>
      <c r="I32" s="404"/>
      <c r="J32" s="404"/>
      <c r="K32" s="405"/>
      <c r="L32" s="78"/>
      <c r="M32" s="78"/>
      <c r="N32" s="78"/>
      <c r="O32" s="78"/>
      <c r="P32" s="258"/>
      <c r="Q32" s="258"/>
      <c r="R32" s="258"/>
      <c r="S32" s="258"/>
      <c r="T32" s="258"/>
      <c r="U32" s="258"/>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row>
    <row r="33" spans="1:53" x14ac:dyDescent="0.25">
      <c r="A33" s="258"/>
      <c r="B33" s="402" t="s">
        <v>24</v>
      </c>
      <c r="C33" s="402"/>
      <c r="D33" s="354" t="s">
        <v>246</v>
      </c>
      <c r="E33" s="355"/>
      <c r="F33" s="355"/>
      <c r="G33" s="355"/>
      <c r="H33" s="355"/>
      <c r="I33" s="355"/>
      <c r="J33" s="355"/>
      <c r="K33" s="356"/>
      <c r="L33" s="78"/>
      <c r="M33" s="78"/>
      <c r="N33" s="78"/>
      <c r="O33" s="78"/>
      <c r="P33" s="258"/>
      <c r="Q33" s="258"/>
      <c r="R33" s="258"/>
      <c r="S33" s="258"/>
      <c r="T33" s="258"/>
      <c r="U33" s="258"/>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row>
    <row r="34" spans="1:53" ht="258" customHeight="1" x14ac:dyDescent="0.25">
      <c r="A34" s="258"/>
      <c r="B34" s="390" t="s">
        <v>247</v>
      </c>
      <c r="C34" s="390"/>
      <c r="D34" s="411" t="s">
        <v>248</v>
      </c>
      <c r="E34" s="412"/>
      <c r="F34" s="412"/>
      <c r="G34" s="412"/>
      <c r="H34" s="412"/>
      <c r="I34" s="412"/>
      <c r="J34" s="412"/>
      <c r="K34" s="413"/>
      <c r="L34" s="78"/>
      <c r="M34" s="78"/>
      <c r="N34" s="78"/>
      <c r="O34" s="78"/>
      <c r="P34" s="258"/>
      <c r="Q34" s="258"/>
      <c r="R34" s="258"/>
      <c r="S34" s="258"/>
      <c r="T34" s="258"/>
      <c r="U34" s="258"/>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105" t="str">
        <f>D34</f>
        <v xml:space="preserve">
'Dutch onshore wind capacity in 2020 was 4159 MW. This is lower than the 6 GW agreed in the Energieakkoord voor duurzame groei (2013). PBL estimates in her Monitor concept-RES (PBL, 2021a), based on an analysis of the draft regional energy strategies (RES), that the cumulatively planned electricity production from wind is around 30 TWh by 2030. This value includes plans where no decision has been made between solar PV and wind. Assuming an average full load factor of 2750 hours per year by 2030 the anticipated onshore wind power capacity would be around 11 GW. In the report an analysis of the pipeline of wind projects is also presented. From this, PBL estimates a minimum realisation of approximately 6.6 GW (18.5 TWh) by 2030, based on projects currently under development. Various studies for the Netherlands report long term realisations for 2050, ranging from 5 to 16 GW onshore wind power. The potential is not so much constrained in terms of space available, but it is a matter of ambition and societal acceptance. For the factsheet document, total Dutch onshore wind power potential is put at 15 GW by 2050, at a future average of 3000 full load hours resulting in 45 TWh. 
Wind speed category more than 8.5 m/s (dark red) gives approximately 450 MW (1.8 TWh) in 2050
Wind speed category between 8.0 and 8.5 m/s (red) gives approximately 1200 MW (4.4 TWh) in 2050
Wind speed category between 7.5 and 8.0 m/s (orange) gives approximately 2850 MW (9.6 TWh) in 2050
Wind speed category between 7.0 and 7.5 m/s (green) gives approximately 4350 MW (13.2 TWh) in 2050
Wind speed category between 6.75 and 7.0 m/s (light blue) gives approximately 1500 MW (4.1 TWh) in 2050
Wind speed category below  6.75 m/s (blue) gives approximately 4650 MW (11.8 TWh) in 2050
See the picture (RVO, 2021) for an indication of the average wind speeds throughout the Netherlands</v>
      </c>
    </row>
    <row r="35" spans="1:53" ht="21" customHeight="1" x14ac:dyDescent="0.25">
      <c r="A35" s="258"/>
      <c r="B35" s="419" t="s">
        <v>2</v>
      </c>
      <c r="C35" s="419"/>
      <c r="D35" s="419"/>
      <c r="E35" s="419"/>
      <c r="F35" s="419"/>
      <c r="G35" s="419"/>
      <c r="H35" s="419"/>
      <c r="I35" s="419"/>
      <c r="J35" s="419"/>
      <c r="K35" s="419"/>
      <c r="L35" s="419"/>
      <c r="M35" s="419"/>
      <c r="N35" s="419"/>
      <c r="O35" s="419"/>
      <c r="P35" s="419"/>
      <c r="Q35" s="419"/>
      <c r="R35" s="419"/>
      <c r="S35" s="419"/>
      <c r="T35" s="419"/>
      <c r="U35" s="419"/>
      <c r="V35" s="259"/>
      <c r="W35" s="259" t="s">
        <v>249</v>
      </c>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row>
    <row r="36" spans="1:53" ht="15.75" customHeight="1" x14ac:dyDescent="0.25">
      <c r="A36" s="258"/>
      <c r="B36" s="420" t="s">
        <v>250</v>
      </c>
      <c r="C36" s="420"/>
      <c r="D36" s="420"/>
      <c r="E36" s="420"/>
      <c r="F36" s="420"/>
      <c r="G36" s="376" t="s">
        <v>228</v>
      </c>
      <c r="H36" s="376"/>
      <c r="I36" s="376"/>
      <c r="J36" s="376"/>
      <c r="K36" s="376"/>
      <c r="L36" s="375">
        <v>2030</v>
      </c>
      <c r="M36" s="375"/>
      <c r="N36" s="375"/>
      <c r="O36" s="375"/>
      <c r="P36" s="375"/>
      <c r="Q36" s="376">
        <v>2050</v>
      </c>
      <c r="R36" s="376"/>
      <c r="S36" s="376"/>
      <c r="T36" s="376"/>
      <c r="U36" s="376"/>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row>
    <row r="37" spans="1:53" ht="15.75" customHeight="1" x14ac:dyDescent="0.25">
      <c r="A37" s="258"/>
      <c r="B37" s="420"/>
      <c r="C37" s="420"/>
      <c r="D37" s="421"/>
      <c r="E37" s="421"/>
      <c r="F37" s="421"/>
      <c r="G37" s="144" t="s">
        <v>219</v>
      </c>
      <c r="H37" s="144" t="s">
        <v>220</v>
      </c>
      <c r="I37" s="144" t="s">
        <v>221</v>
      </c>
      <c r="J37" s="144" t="s">
        <v>222</v>
      </c>
      <c r="K37" s="144" t="s">
        <v>223</v>
      </c>
      <c r="L37" s="143" t="s">
        <v>219</v>
      </c>
      <c r="M37" s="143" t="s">
        <v>220</v>
      </c>
      <c r="N37" s="143" t="s">
        <v>221</v>
      </c>
      <c r="O37" s="143" t="s">
        <v>222</v>
      </c>
      <c r="P37" s="143" t="s">
        <v>223</v>
      </c>
      <c r="Q37" s="144" t="s">
        <v>219</v>
      </c>
      <c r="R37" s="144" t="s">
        <v>220</v>
      </c>
      <c r="S37" s="144" t="s">
        <v>221</v>
      </c>
      <c r="T37" s="144" t="s">
        <v>222</v>
      </c>
      <c r="U37" s="144" t="s">
        <v>223</v>
      </c>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row>
    <row r="38" spans="1:53" ht="15.75" customHeight="1" x14ac:dyDescent="0.25">
      <c r="A38" s="258"/>
      <c r="B38" s="366" t="s">
        <v>26</v>
      </c>
      <c r="C38" s="422"/>
      <c r="D38" s="414" t="s">
        <v>374</v>
      </c>
      <c r="E38" s="416" t="s">
        <v>12</v>
      </c>
      <c r="F38" s="417"/>
      <c r="G38" s="212">
        <v>1149</v>
      </c>
      <c r="H38" s="303">
        <v>1010</v>
      </c>
      <c r="I38" s="303">
        <v>1234</v>
      </c>
      <c r="J38" s="303"/>
      <c r="K38" s="303"/>
      <c r="L38" s="212">
        <v>1091</v>
      </c>
      <c r="M38" s="303">
        <v>770</v>
      </c>
      <c r="N38" s="303">
        <v>1118</v>
      </c>
      <c r="O38" s="303"/>
      <c r="P38" s="303"/>
      <c r="Q38" s="212">
        <v>982</v>
      </c>
      <c r="R38" s="303">
        <v>688</v>
      </c>
      <c r="S38" s="303">
        <v>1058</v>
      </c>
      <c r="T38" s="100"/>
      <c r="U38" s="100"/>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row>
    <row r="39" spans="1:53" x14ac:dyDescent="0.25">
      <c r="A39" s="258"/>
      <c r="B39" s="366"/>
      <c r="C39" s="422"/>
      <c r="D39" s="415"/>
      <c r="E39" s="418"/>
      <c r="F39" s="337"/>
      <c r="G39" s="101" t="s">
        <v>252</v>
      </c>
      <c r="H39" s="101" t="s">
        <v>253</v>
      </c>
      <c r="I39" s="101" t="s">
        <v>253</v>
      </c>
      <c r="J39" s="101" t="s">
        <v>226</v>
      </c>
      <c r="K39" s="101" t="s">
        <v>226</v>
      </c>
      <c r="L39" s="101" t="s">
        <v>254</v>
      </c>
      <c r="M39" s="101" t="s">
        <v>253</v>
      </c>
      <c r="N39" s="101" t="s">
        <v>253</v>
      </c>
      <c r="O39" s="101" t="s">
        <v>226</v>
      </c>
      <c r="P39" s="101" t="s">
        <v>226</v>
      </c>
      <c r="Q39" s="101" t="s">
        <v>254</v>
      </c>
      <c r="R39" s="101" t="s">
        <v>253</v>
      </c>
      <c r="S39" s="101" t="s">
        <v>253</v>
      </c>
      <c r="T39" s="101" t="s">
        <v>226</v>
      </c>
      <c r="U39" s="101" t="s">
        <v>226</v>
      </c>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row>
    <row r="40" spans="1:53" ht="15" customHeight="1" x14ac:dyDescent="0.25">
      <c r="A40" s="258"/>
      <c r="B40" s="366" t="s">
        <v>28</v>
      </c>
      <c r="C40" s="366"/>
      <c r="D40" s="414" t="s">
        <v>374</v>
      </c>
      <c r="E40" s="416" t="s">
        <v>12</v>
      </c>
      <c r="F40" s="417"/>
      <c r="G40" s="155"/>
      <c r="H40" s="100"/>
      <c r="I40" s="100"/>
      <c r="J40" s="100"/>
      <c r="K40" s="100"/>
      <c r="L40" s="92"/>
      <c r="M40" s="100"/>
      <c r="N40" s="100"/>
      <c r="O40" s="100"/>
      <c r="P40" s="100"/>
      <c r="Q40" s="92"/>
      <c r="R40" s="100"/>
      <c r="S40" s="100"/>
      <c r="T40" s="100"/>
      <c r="U40" s="100"/>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row>
    <row r="41" spans="1:53" ht="15" customHeight="1" x14ac:dyDescent="0.25">
      <c r="A41" s="258"/>
      <c r="B41" s="366"/>
      <c r="C41" s="366"/>
      <c r="D41" s="415"/>
      <c r="E41" s="418"/>
      <c r="F41" s="337"/>
      <c r="G41" s="102"/>
      <c r="H41" s="101" t="s">
        <v>226</v>
      </c>
      <c r="I41" s="101" t="s">
        <v>226</v>
      </c>
      <c r="J41" s="101" t="s">
        <v>226</v>
      </c>
      <c r="K41" s="101" t="s">
        <v>226</v>
      </c>
      <c r="L41" s="101" t="s">
        <v>226</v>
      </c>
      <c r="M41" s="101" t="s">
        <v>226</v>
      </c>
      <c r="N41" s="101" t="s">
        <v>226</v>
      </c>
      <c r="O41" s="101" t="s">
        <v>226</v>
      </c>
      <c r="P41" s="101" t="s">
        <v>226</v>
      </c>
      <c r="Q41" s="101" t="s">
        <v>226</v>
      </c>
      <c r="R41" s="101" t="s">
        <v>226</v>
      </c>
      <c r="S41" s="101" t="s">
        <v>226</v>
      </c>
      <c r="T41" s="101" t="s">
        <v>226</v>
      </c>
      <c r="U41" s="101" t="s">
        <v>226</v>
      </c>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row>
    <row r="42" spans="1:53" ht="15.75" customHeight="1" x14ac:dyDescent="0.25">
      <c r="A42" s="258"/>
      <c r="B42" s="366" t="s">
        <v>255</v>
      </c>
      <c r="C42" s="366"/>
      <c r="D42" s="414" t="s">
        <v>374</v>
      </c>
      <c r="E42" s="416" t="s">
        <v>12</v>
      </c>
      <c r="F42" s="417"/>
      <c r="G42" s="301">
        <v>10.7</v>
      </c>
      <c r="H42" s="302">
        <v>9.6</v>
      </c>
      <c r="I42" s="302">
        <v>11.7</v>
      </c>
      <c r="J42" s="302"/>
      <c r="K42" s="302"/>
      <c r="L42" s="301">
        <v>10.1</v>
      </c>
      <c r="M42" s="302">
        <v>8.3000000000000007</v>
      </c>
      <c r="N42" s="302">
        <v>12.1</v>
      </c>
      <c r="O42" s="302"/>
      <c r="P42" s="302"/>
      <c r="Q42" s="301">
        <v>9.1</v>
      </c>
      <c r="R42" s="302">
        <v>7.2</v>
      </c>
      <c r="S42" s="302">
        <v>11.1</v>
      </c>
      <c r="T42" s="100"/>
      <c r="U42" s="100"/>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V42" s="259"/>
      <c r="AW42" s="259"/>
      <c r="AX42" s="259"/>
      <c r="AY42" s="259"/>
    </row>
    <row r="43" spans="1:53" ht="15" customHeight="1" x14ac:dyDescent="0.25">
      <c r="A43" s="258"/>
      <c r="B43" s="366"/>
      <c r="C43" s="366"/>
      <c r="D43" s="415"/>
      <c r="E43" s="418"/>
      <c r="F43" s="337"/>
      <c r="G43" s="101" t="s">
        <v>252</v>
      </c>
      <c r="H43" s="224" t="str">
        <f>Calculations!T262</f>
        <v>Min. est. (-10%)</v>
      </c>
      <c r="I43" s="224" t="str">
        <f>Calculations!U262</f>
        <v>Max. est. (+10%)</v>
      </c>
      <c r="J43" s="101" t="s">
        <v>226</v>
      </c>
      <c r="K43" s="101" t="s">
        <v>226</v>
      </c>
      <c r="L43" s="101" t="s">
        <v>254</v>
      </c>
      <c r="M43" s="101" t="str">
        <f>Calculations!T263</f>
        <v>Min. est. (-18%)</v>
      </c>
      <c r="N43" s="101" t="str">
        <f>Calculations!U263</f>
        <v>Max. est. (+19%)</v>
      </c>
      <c r="O43" s="101" t="s">
        <v>226</v>
      </c>
      <c r="P43" s="101" t="s">
        <v>226</v>
      </c>
      <c r="Q43" s="101" t="s">
        <v>254</v>
      </c>
      <c r="R43" s="101" t="str">
        <f>Calculations!T265</f>
        <v>Min. est. (-20%)</v>
      </c>
      <c r="S43" s="101" t="str">
        <f>Calculations!U265</f>
        <v>Max. est. (+23%)</v>
      </c>
      <c r="T43" s="101" t="s">
        <v>226</v>
      </c>
      <c r="U43" s="101" t="s">
        <v>226</v>
      </c>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row>
    <row r="44" spans="1:53" ht="15.75" customHeight="1" x14ac:dyDescent="0.25">
      <c r="A44" s="258"/>
      <c r="B44" s="366" t="s">
        <v>256</v>
      </c>
      <c r="C44" s="366"/>
      <c r="D44" s="414" t="s">
        <v>374</v>
      </c>
      <c r="E44" s="416" t="s">
        <v>330</v>
      </c>
      <c r="F44" s="417"/>
      <c r="G44" s="155">
        <v>9.5999999999999992E-3</v>
      </c>
      <c r="H44" s="176">
        <v>8.6999999999999994E-3</v>
      </c>
      <c r="I44" s="176">
        <v>1.06E-2</v>
      </c>
      <c r="J44" s="176"/>
      <c r="K44" s="176"/>
      <c r="L44" s="155">
        <v>9.1999999999999998E-3</v>
      </c>
      <c r="M44" s="176">
        <v>7.4999999999999997E-3</v>
      </c>
      <c r="N44" s="176">
        <v>1.09E-2</v>
      </c>
      <c r="O44" s="176"/>
      <c r="P44" s="176"/>
      <c r="Q44" s="155">
        <v>8.2000000000000007E-3</v>
      </c>
      <c r="R44" s="176">
        <v>6.6E-3</v>
      </c>
      <c r="S44" s="176">
        <v>1.01E-2</v>
      </c>
      <c r="T44" s="100"/>
      <c r="U44" s="100"/>
      <c r="V44" s="259"/>
      <c r="W44" s="259"/>
      <c r="X44" s="259"/>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row>
    <row r="45" spans="1:53" ht="15" customHeight="1" x14ac:dyDescent="0.25">
      <c r="A45" s="258"/>
      <c r="B45" s="366"/>
      <c r="C45" s="366"/>
      <c r="D45" s="415"/>
      <c r="E45" s="418"/>
      <c r="F45" s="337"/>
      <c r="G45" s="101" t="s">
        <v>252</v>
      </c>
      <c r="H45" s="101" t="str">
        <f>Calculations!T262</f>
        <v>Min. est. (-10%)</v>
      </c>
      <c r="I45" s="101" t="str">
        <f>Calculations!U262</f>
        <v>Max. est. (+10%)</v>
      </c>
      <c r="J45" s="101" t="s">
        <v>226</v>
      </c>
      <c r="K45" s="101" t="s">
        <v>226</v>
      </c>
      <c r="L45" s="101" t="s">
        <v>254</v>
      </c>
      <c r="M45" s="101" t="str">
        <f>Calculations!T263</f>
        <v>Min. est. (-18%)</v>
      </c>
      <c r="N45" s="101" t="str">
        <f>Calculations!U263</f>
        <v>Max. est. (+19%)</v>
      </c>
      <c r="O45" s="101" t="s">
        <v>226</v>
      </c>
      <c r="P45" s="101" t="s">
        <v>226</v>
      </c>
      <c r="Q45" s="101" t="s">
        <v>254</v>
      </c>
      <c r="R45" s="101" t="str">
        <f>Calculations!T265</f>
        <v>Min. est. (-20%)</v>
      </c>
      <c r="S45" s="101" t="str">
        <f>Calculations!U265</f>
        <v>Max. est. (+23%)</v>
      </c>
      <c r="T45" s="101" t="s">
        <v>226</v>
      </c>
      <c r="U45" s="101" t="s">
        <v>226</v>
      </c>
      <c r="V45" s="259"/>
      <c r="W45" s="259"/>
      <c r="X45" s="259"/>
      <c r="Y45" s="259"/>
      <c r="Z45" s="259"/>
      <c r="AA45" s="259"/>
      <c r="AB45" s="259"/>
      <c r="AC45" s="259"/>
      <c r="AD45" s="259"/>
      <c r="AE45" s="259"/>
      <c r="AF45" s="259"/>
      <c r="AG45" s="259"/>
      <c r="AH45" s="259"/>
      <c r="AI45" s="259"/>
      <c r="AJ45" s="259"/>
      <c r="AK45" s="259"/>
      <c r="AL45" s="259"/>
      <c r="AM45" s="259"/>
      <c r="AN45" s="259"/>
      <c r="AO45" s="259"/>
      <c r="AP45" s="259"/>
      <c r="AQ45" s="259"/>
      <c r="AR45" s="259"/>
      <c r="AS45" s="259"/>
      <c r="AT45" s="259"/>
      <c r="AU45" s="259"/>
      <c r="AV45" s="259"/>
      <c r="AW45" s="259"/>
      <c r="AX45" s="259"/>
      <c r="AY45" s="259"/>
    </row>
    <row r="46" spans="1:53" ht="40.5" customHeight="1" x14ac:dyDescent="0.25">
      <c r="A46" s="258"/>
      <c r="B46" s="362" t="s">
        <v>258</v>
      </c>
      <c r="C46" s="362"/>
      <c r="D46" s="428" t="s">
        <v>259</v>
      </c>
      <c r="E46" s="428"/>
      <c r="F46" s="428"/>
      <c r="G46" s="428"/>
      <c r="H46" s="428"/>
      <c r="I46" s="428"/>
      <c r="J46" s="428"/>
      <c r="K46" s="428"/>
      <c r="L46" s="428"/>
      <c r="M46" s="428"/>
      <c r="N46" s="428"/>
      <c r="O46" s="428"/>
      <c r="P46" s="428"/>
      <c r="Q46" s="428"/>
      <c r="R46" s="428"/>
      <c r="S46" s="428"/>
      <c r="T46" s="428"/>
      <c r="U46" s="428"/>
      <c r="V46" s="259"/>
      <c r="W46" s="259"/>
      <c r="X46" s="259"/>
      <c r="Y46" s="259"/>
      <c r="Z46" s="259"/>
      <c r="AA46" s="259"/>
      <c r="AB46" s="259"/>
      <c r="AC46" s="259"/>
      <c r="AD46" s="259"/>
      <c r="AE46" s="259"/>
      <c r="AF46" s="259"/>
      <c r="AG46" s="259"/>
      <c r="AH46" s="259"/>
      <c r="AI46" s="259"/>
      <c r="AJ46" s="259"/>
      <c r="AK46" s="259"/>
      <c r="AL46" s="259"/>
      <c r="AM46" s="259"/>
      <c r="AN46" s="259"/>
      <c r="AO46" s="259"/>
      <c r="AP46" s="259"/>
      <c r="AQ46" s="259"/>
      <c r="AR46" s="259"/>
      <c r="AS46" s="259"/>
      <c r="AT46" s="259"/>
      <c r="AU46" s="259"/>
      <c r="AV46" s="259"/>
      <c r="AW46" s="259"/>
      <c r="AX46" s="259"/>
      <c r="AY46" s="259"/>
      <c r="BA46" s="105" t="str">
        <f>D46</f>
        <v>For the year 2020 reference is made to PBL (2021b), which assesses in detail the costs of Dutch onshore wind power projects. The projection towards 2030 and 2050 is made based on multiple scenarios assessed in IRENA (2019), Ecofys (2018) and JRC (2018). The minimum and maximum values have been based on data ranges observed in WindEurope (2021).</v>
      </c>
    </row>
    <row r="47" spans="1:53" ht="21" customHeight="1" x14ac:dyDescent="0.25">
      <c r="A47" s="258"/>
      <c r="B47" s="419" t="s">
        <v>3</v>
      </c>
      <c r="C47" s="419"/>
      <c r="D47" s="419"/>
      <c r="E47" s="419"/>
      <c r="F47" s="419"/>
      <c r="G47" s="419"/>
      <c r="H47" s="419"/>
      <c r="I47" s="419"/>
      <c r="J47" s="419"/>
      <c r="K47" s="419"/>
      <c r="L47" s="419"/>
      <c r="M47" s="419"/>
      <c r="N47" s="419"/>
      <c r="O47" s="419"/>
      <c r="P47" s="419"/>
      <c r="Q47" s="419"/>
      <c r="R47" s="419"/>
      <c r="S47" s="419"/>
      <c r="T47" s="419"/>
      <c r="U47" s="419"/>
      <c r="V47" s="259"/>
      <c r="W47" s="259"/>
      <c r="X47" s="259"/>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row>
    <row r="48" spans="1:53" ht="15.75" customHeight="1" x14ac:dyDescent="0.25">
      <c r="A48" s="258"/>
      <c r="B48" s="423" t="s">
        <v>260</v>
      </c>
      <c r="C48" s="424"/>
      <c r="D48" s="427" t="s">
        <v>261</v>
      </c>
      <c r="E48" s="427"/>
      <c r="F48" s="427" t="s">
        <v>0</v>
      </c>
      <c r="G48" s="376" t="s">
        <v>228</v>
      </c>
      <c r="H48" s="376"/>
      <c r="I48" s="376"/>
      <c r="J48" s="376"/>
      <c r="K48" s="376"/>
      <c r="L48" s="375">
        <v>2030</v>
      </c>
      <c r="M48" s="375"/>
      <c r="N48" s="375"/>
      <c r="O48" s="375"/>
      <c r="P48" s="375"/>
      <c r="Q48" s="376">
        <v>2050</v>
      </c>
      <c r="R48" s="376"/>
      <c r="S48" s="376"/>
      <c r="T48" s="376"/>
      <c r="U48" s="376"/>
      <c r="V48" s="259"/>
      <c r="W48" s="259"/>
      <c r="X48" s="259"/>
      <c r="Y48" s="259"/>
      <c r="Z48" s="259"/>
      <c r="AA48" s="259"/>
      <c r="AB48" s="259"/>
      <c r="AC48" s="259"/>
      <c r="AD48" s="259"/>
      <c r="AE48" s="259"/>
      <c r="AF48" s="259"/>
      <c r="AG48" s="259"/>
      <c r="AH48" s="259"/>
      <c r="AI48" s="259"/>
      <c r="AJ48" s="259"/>
      <c r="AK48" s="259"/>
      <c r="AL48" s="259"/>
      <c r="AM48" s="259"/>
      <c r="AN48" s="259"/>
      <c r="AO48" s="259"/>
      <c r="AP48" s="259"/>
      <c r="AQ48" s="259"/>
      <c r="AR48" s="259"/>
      <c r="AS48" s="259"/>
      <c r="AT48" s="259"/>
      <c r="AU48" s="259"/>
      <c r="AV48" s="259"/>
      <c r="AW48" s="259"/>
      <c r="AX48" s="259"/>
      <c r="AY48" s="259"/>
    </row>
    <row r="49" spans="1:53" x14ac:dyDescent="0.25">
      <c r="A49" s="258"/>
      <c r="B49" s="425"/>
      <c r="C49" s="426"/>
      <c r="D49" s="427"/>
      <c r="E49" s="427"/>
      <c r="F49" s="427"/>
      <c r="G49" s="144" t="s">
        <v>219</v>
      </c>
      <c r="H49" s="144" t="s">
        <v>220</v>
      </c>
      <c r="I49" s="144" t="s">
        <v>221</v>
      </c>
      <c r="J49" s="144" t="s">
        <v>222</v>
      </c>
      <c r="K49" s="144" t="s">
        <v>223</v>
      </c>
      <c r="L49" s="143" t="s">
        <v>219</v>
      </c>
      <c r="M49" s="143" t="s">
        <v>220</v>
      </c>
      <c r="N49" s="143" t="s">
        <v>221</v>
      </c>
      <c r="O49" s="143" t="s">
        <v>222</v>
      </c>
      <c r="P49" s="143" t="s">
        <v>223</v>
      </c>
      <c r="Q49" s="144" t="s">
        <v>219</v>
      </c>
      <c r="R49" s="144" t="s">
        <v>220</v>
      </c>
      <c r="S49" s="144" t="s">
        <v>221</v>
      </c>
      <c r="T49" s="144" t="s">
        <v>222</v>
      </c>
      <c r="U49" s="144" t="s">
        <v>223</v>
      </c>
      <c r="V49" s="259"/>
      <c r="W49" s="259"/>
      <c r="X49" s="259"/>
      <c r="Y49" s="259"/>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row>
    <row r="50" spans="1:53" ht="15.75" customHeight="1" x14ac:dyDescent="0.25">
      <c r="A50" s="258"/>
      <c r="B50" s="429" t="s">
        <v>262</v>
      </c>
      <c r="C50" s="430"/>
      <c r="D50" s="435" t="s">
        <v>32</v>
      </c>
      <c r="E50" s="435"/>
      <c r="F50" s="436" t="s">
        <v>31</v>
      </c>
      <c r="G50" s="156">
        <v>-1</v>
      </c>
      <c r="H50" s="100"/>
      <c r="I50" s="100"/>
      <c r="J50" s="100"/>
      <c r="K50" s="100"/>
      <c r="L50" s="156">
        <v>-1</v>
      </c>
      <c r="M50" s="100"/>
      <c r="N50" s="100"/>
      <c r="O50" s="100"/>
      <c r="P50" s="100"/>
      <c r="Q50" s="156">
        <v>-1</v>
      </c>
      <c r="R50" s="100"/>
      <c r="S50" s="100"/>
      <c r="T50" s="100"/>
      <c r="U50" s="100"/>
      <c r="V50" s="259"/>
      <c r="W50" s="259"/>
      <c r="X50" s="259"/>
      <c r="Y50" s="259"/>
      <c r="Z50" s="259"/>
      <c r="AA50" s="259"/>
      <c r="AB50" s="259"/>
      <c r="AC50" s="259"/>
      <c r="AD50" s="259"/>
      <c r="AE50" s="259"/>
      <c r="AF50" s="259"/>
      <c r="AG50" s="259"/>
      <c r="AH50" s="259"/>
      <c r="AI50" s="259"/>
      <c r="AJ50" s="259"/>
      <c r="AK50" s="259"/>
      <c r="AL50" s="259"/>
      <c r="AM50" s="259"/>
      <c r="AN50" s="259"/>
      <c r="AO50" s="259"/>
      <c r="AP50" s="259"/>
      <c r="AQ50" s="259"/>
      <c r="AR50" s="259"/>
      <c r="AS50" s="259"/>
      <c r="AT50" s="259"/>
      <c r="AU50" s="259"/>
      <c r="AV50" s="259"/>
      <c r="AW50" s="259"/>
      <c r="AX50" s="259"/>
      <c r="AY50" s="259"/>
    </row>
    <row r="51" spans="1:53" x14ac:dyDescent="0.25">
      <c r="A51" s="258"/>
      <c r="B51" s="431"/>
      <c r="C51" s="432"/>
      <c r="D51" s="435"/>
      <c r="E51" s="435"/>
      <c r="F51" s="436"/>
      <c r="G51" s="102" t="s">
        <v>226</v>
      </c>
      <c r="H51" s="101" t="s">
        <v>226</v>
      </c>
      <c r="I51" s="101" t="s">
        <v>226</v>
      </c>
      <c r="J51" s="101" t="s">
        <v>226</v>
      </c>
      <c r="K51" s="101" t="s">
        <v>226</v>
      </c>
      <c r="L51" s="102" t="s">
        <v>226</v>
      </c>
      <c r="M51" s="101" t="s">
        <v>226</v>
      </c>
      <c r="N51" s="101" t="s">
        <v>226</v>
      </c>
      <c r="O51" s="101" t="s">
        <v>226</v>
      </c>
      <c r="P51" s="101" t="s">
        <v>226</v>
      </c>
      <c r="Q51" s="102" t="s">
        <v>226</v>
      </c>
      <c r="R51" s="101" t="s">
        <v>226</v>
      </c>
      <c r="S51" s="101" t="s">
        <v>226</v>
      </c>
      <c r="T51" s="101" t="s">
        <v>226</v>
      </c>
      <c r="U51" s="101" t="s">
        <v>226</v>
      </c>
      <c r="V51" s="259"/>
      <c r="W51" s="259"/>
      <c r="X51" s="259"/>
      <c r="Y51" s="259"/>
      <c r="Z51" s="259"/>
      <c r="AA51" s="259"/>
      <c r="AB51" s="259"/>
      <c r="AC51" s="259"/>
      <c r="AD51" s="259"/>
      <c r="AE51" s="259"/>
      <c r="AF51" s="259"/>
      <c r="AG51" s="259"/>
      <c r="AH51" s="259"/>
      <c r="AI51" s="259"/>
      <c r="AJ51" s="259"/>
      <c r="AK51" s="259"/>
      <c r="AL51" s="259"/>
      <c r="AM51" s="259"/>
      <c r="AN51" s="259"/>
      <c r="AO51" s="259"/>
      <c r="AP51" s="259"/>
      <c r="AQ51" s="259"/>
      <c r="AR51" s="259"/>
      <c r="AS51" s="259"/>
      <c r="AT51" s="259"/>
      <c r="AU51" s="259"/>
      <c r="AV51" s="259"/>
      <c r="AW51" s="259"/>
      <c r="AX51" s="259"/>
      <c r="AY51" s="259"/>
    </row>
    <row r="52" spans="1:53" ht="15" customHeight="1" x14ac:dyDescent="0.25">
      <c r="A52" s="258"/>
      <c r="B52" s="431"/>
      <c r="C52" s="432"/>
      <c r="D52" s="437" t="s">
        <v>263</v>
      </c>
      <c r="E52" s="438"/>
      <c r="F52" s="436" t="s">
        <v>31</v>
      </c>
      <c r="G52" s="92">
        <v>1</v>
      </c>
      <c r="H52" s="100"/>
      <c r="I52" s="100"/>
      <c r="J52" s="100"/>
      <c r="K52" s="100"/>
      <c r="L52" s="92">
        <v>1</v>
      </c>
      <c r="M52" s="100"/>
      <c r="N52" s="100"/>
      <c r="O52" s="100"/>
      <c r="P52" s="100"/>
      <c r="Q52" s="92">
        <v>1</v>
      </c>
      <c r="R52" s="100"/>
      <c r="S52" s="100"/>
      <c r="T52" s="100"/>
      <c r="U52" s="100"/>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row>
    <row r="53" spans="1:53" x14ac:dyDescent="0.25">
      <c r="A53" s="258"/>
      <c r="B53" s="431"/>
      <c r="C53" s="432"/>
      <c r="D53" s="439"/>
      <c r="E53" s="440"/>
      <c r="F53" s="436"/>
      <c r="G53" s="101" t="s">
        <v>226</v>
      </c>
      <c r="H53" s="101" t="s">
        <v>226</v>
      </c>
      <c r="I53" s="101" t="s">
        <v>226</v>
      </c>
      <c r="J53" s="101" t="s">
        <v>226</v>
      </c>
      <c r="K53" s="101" t="s">
        <v>226</v>
      </c>
      <c r="L53" s="101" t="s">
        <v>226</v>
      </c>
      <c r="M53" s="101" t="s">
        <v>226</v>
      </c>
      <c r="N53" s="101" t="s">
        <v>226</v>
      </c>
      <c r="O53" s="101" t="s">
        <v>226</v>
      </c>
      <c r="P53" s="101" t="s">
        <v>226</v>
      </c>
      <c r="Q53" s="101" t="s">
        <v>226</v>
      </c>
      <c r="R53" s="101" t="s">
        <v>226</v>
      </c>
      <c r="S53" s="101" t="s">
        <v>226</v>
      </c>
      <c r="T53" s="101" t="s">
        <v>226</v>
      </c>
      <c r="U53" s="101" t="s">
        <v>226</v>
      </c>
      <c r="V53" s="259"/>
      <c r="W53" s="259"/>
      <c r="X53" s="259"/>
      <c r="Y53" s="259"/>
      <c r="Z53" s="259"/>
      <c r="AA53" s="259"/>
      <c r="AB53" s="259"/>
      <c r="AC53" s="259"/>
      <c r="AD53" s="259"/>
      <c r="AE53" s="259"/>
      <c r="AF53" s="259"/>
      <c r="AG53" s="259"/>
      <c r="AH53" s="259"/>
      <c r="AI53" s="259"/>
      <c r="AJ53" s="259"/>
      <c r="AK53" s="259"/>
      <c r="AL53" s="259"/>
      <c r="AM53" s="259"/>
      <c r="AN53" s="259"/>
      <c r="AO53" s="259"/>
      <c r="AP53" s="259"/>
      <c r="AQ53" s="259"/>
      <c r="AR53" s="259"/>
      <c r="AS53" s="259"/>
      <c r="AT53" s="259"/>
      <c r="AU53" s="259"/>
      <c r="AV53" s="259"/>
      <c r="AW53" s="259"/>
      <c r="AX53" s="259"/>
      <c r="AY53" s="259"/>
    </row>
    <row r="54" spans="1:53" x14ac:dyDescent="0.25">
      <c r="A54" s="258"/>
      <c r="B54" s="431"/>
      <c r="C54" s="432"/>
      <c r="D54" s="435" t="s">
        <v>264</v>
      </c>
      <c r="E54" s="435"/>
      <c r="F54" s="436" t="s">
        <v>31</v>
      </c>
      <c r="G54" s="92"/>
      <c r="H54" s="100"/>
      <c r="I54" s="100"/>
      <c r="J54" s="100"/>
      <c r="K54" s="100"/>
      <c r="L54" s="92"/>
      <c r="M54" s="100"/>
      <c r="N54" s="100"/>
      <c r="O54" s="100"/>
      <c r="P54" s="100"/>
      <c r="Q54" s="92"/>
      <c r="R54" s="100"/>
      <c r="S54" s="100"/>
      <c r="T54" s="100"/>
      <c r="U54" s="100"/>
      <c r="V54" s="259"/>
      <c r="W54" s="259"/>
      <c r="X54" s="259"/>
      <c r="Y54" s="259"/>
      <c r="Z54" s="259"/>
      <c r="AA54" s="259"/>
      <c r="AB54" s="259"/>
      <c r="AC54" s="259"/>
      <c r="AD54" s="259"/>
      <c r="AE54" s="259"/>
      <c r="AF54" s="259"/>
      <c r="AG54" s="259"/>
      <c r="AH54" s="259"/>
      <c r="AI54" s="259"/>
      <c r="AJ54" s="259"/>
      <c r="AK54" s="259"/>
      <c r="AL54" s="259"/>
      <c r="AM54" s="259"/>
      <c r="AN54" s="259"/>
      <c r="AO54" s="259"/>
      <c r="AP54" s="259"/>
      <c r="AQ54" s="259"/>
      <c r="AR54" s="259"/>
      <c r="AS54" s="259"/>
      <c r="AT54" s="259"/>
      <c r="AU54" s="259"/>
      <c r="AV54" s="259"/>
      <c r="AW54" s="259"/>
      <c r="AX54" s="259"/>
      <c r="AY54" s="259"/>
    </row>
    <row r="55" spans="1:53" x14ac:dyDescent="0.25">
      <c r="A55" s="258"/>
      <c r="B55" s="431"/>
      <c r="C55" s="432"/>
      <c r="D55" s="435"/>
      <c r="E55" s="435"/>
      <c r="F55" s="436"/>
      <c r="G55" s="101" t="s">
        <v>226</v>
      </c>
      <c r="H55" s="101" t="s">
        <v>226</v>
      </c>
      <c r="I55" s="101" t="s">
        <v>226</v>
      </c>
      <c r="J55" s="101" t="s">
        <v>226</v>
      </c>
      <c r="K55" s="101" t="s">
        <v>226</v>
      </c>
      <c r="L55" s="101" t="s">
        <v>226</v>
      </c>
      <c r="M55" s="101" t="s">
        <v>226</v>
      </c>
      <c r="N55" s="101" t="s">
        <v>226</v>
      </c>
      <c r="O55" s="101" t="s">
        <v>226</v>
      </c>
      <c r="P55" s="101" t="s">
        <v>226</v>
      </c>
      <c r="Q55" s="101" t="s">
        <v>226</v>
      </c>
      <c r="R55" s="101" t="s">
        <v>226</v>
      </c>
      <c r="S55" s="101" t="s">
        <v>226</v>
      </c>
      <c r="T55" s="101" t="s">
        <v>226</v>
      </c>
      <c r="U55" s="101" t="s">
        <v>226</v>
      </c>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row>
    <row r="56" spans="1:53" x14ac:dyDescent="0.25">
      <c r="A56" s="258"/>
      <c r="B56" s="431"/>
      <c r="C56" s="432"/>
      <c r="D56" s="435" t="s">
        <v>264</v>
      </c>
      <c r="E56" s="435"/>
      <c r="F56" s="436" t="s">
        <v>31</v>
      </c>
      <c r="G56" s="92"/>
      <c r="H56" s="100"/>
      <c r="I56" s="100"/>
      <c r="J56" s="100"/>
      <c r="K56" s="100"/>
      <c r="L56" s="92"/>
      <c r="M56" s="100"/>
      <c r="N56" s="100"/>
      <c r="O56" s="100"/>
      <c r="P56" s="100"/>
      <c r="Q56" s="92"/>
      <c r="R56" s="100"/>
      <c r="S56" s="100"/>
      <c r="T56" s="100"/>
      <c r="U56" s="100"/>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row>
    <row r="57" spans="1:53" x14ac:dyDescent="0.25">
      <c r="A57" s="258"/>
      <c r="B57" s="433"/>
      <c r="C57" s="434"/>
      <c r="D57" s="435"/>
      <c r="E57" s="435"/>
      <c r="F57" s="436"/>
      <c r="G57" s="101" t="s">
        <v>226</v>
      </c>
      <c r="H57" s="101" t="s">
        <v>226</v>
      </c>
      <c r="I57" s="101" t="s">
        <v>226</v>
      </c>
      <c r="J57" s="101" t="s">
        <v>226</v>
      </c>
      <c r="K57" s="101" t="s">
        <v>226</v>
      </c>
      <c r="L57" s="101" t="s">
        <v>226</v>
      </c>
      <c r="M57" s="101" t="s">
        <v>226</v>
      </c>
      <c r="N57" s="101" t="s">
        <v>226</v>
      </c>
      <c r="O57" s="101" t="s">
        <v>226</v>
      </c>
      <c r="P57" s="101" t="s">
        <v>226</v>
      </c>
      <c r="Q57" s="101" t="s">
        <v>226</v>
      </c>
      <c r="R57" s="101" t="s">
        <v>226</v>
      </c>
      <c r="S57" s="101" t="s">
        <v>226</v>
      </c>
      <c r="T57" s="101" t="s">
        <v>226</v>
      </c>
      <c r="U57" s="101" t="s">
        <v>226</v>
      </c>
      <c r="V57" s="259"/>
      <c r="W57" s="259"/>
      <c r="X57" s="259"/>
      <c r="Y57" s="259"/>
      <c r="Z57" s="259"/>
      <c r="AA57" s="259"/>
      <c r="AB57" s="259"/>
      <c r="AC57" s="259"/>
      <c r="AD57" s="259"/>
      <c r="AE57" s="259"/>
      <c r="AF57" s="259"/>
      <c r="AG57" s="259"/>
      <c r="AH57" s="259"/>
      <c r="AI57" s="259"/>
      <c r="AJ57" s="259"/>
      <c r="AK57" s="259"/>
      <c r="AL57" s="259"/>
      <c r="AM57" s="259"/>
      <c r="AN57" s="259"/>
      <c r="AO57" s="259"/>
      <c r="AP57" s="259"/>
      <c r="AQ57" s="259"/>
      <c r="AR57" s="259"/>
      <c r="AS57" s="259"/>
      <c r="AT57" s="259"/>
      <c r="AU57" s="259"/>
      <c r="AV57" s="259"/>
      <c r="AW57" s="259"/>
      <c r="AX57" s="259"/>
      <c r="AY57" s="259"/>
    </row>
    <row r="58" spans="1:53" ht="40.5" customHeight="1" x14ac:dyDescent="0.25">
      <c r="A58" s="258"/>
      <c r="B58" s="366" t="s">
        <v>265</v>
      </c>
      <c r="C58" s="366"/>
      <c r="D58" s="428" t="s">
        <v>266</v>
      </c>
      <c r="E58" s="428"/>
      <c r="F58" s="428"/>
      <c r="G58" s="428"/>
      <c r="H58" s="428"/>
      <c r="I58" s="428"/>
      <c r="J58" s="428"/>
      <c r="K58" s="428"/>
      <c r="L58" s="428"/>
      <c r="M58" s="428"/>
      <c r="N58" s="428"/>
      <c r="O58" s="428"/>
      <c r="P58" s="428"/>
      <c r="Q58" s="428"/>
      <c r="R58" s="428"/>
      <c r="S58" s="428"/>
      <c r="T58" s="428"/>
      <c r="U58" s="428"/>
      <c r="V58" s="259"/>
      <c r="W58" s="259"/>
      <c r="X58" s="259"/>
      <c r="Y58" s="259"/>
      <c r="Z58" s="259"/>
      <c r="AA58" s="259"/>
      <c r="AB58" s="259"/>
      <c r="AC58" s="259"/>
      <c r="AD58" s="259"/>
      <c r="AE58" s="259"/>
      <c r="AF58" s="259"/>
      <c r="AG58" s="259"/>
      <c r="AH58" s="259"/>
      <c r="AI58" s="259"/>
      <c r="AJ58" s="259"/>
      <c r="AK58" s="259"/>
      <c r="AL58" s="259"/>
      <c r="AM58" s="259"/>
      <c r="AN58" s="259"/>
      <c r="AO58" s="259"/>
      <c r="AP58" s="259"/>
      <c r="AQ58" s="259"/>
      <c r="AR58" s="259"/>
      <c r="AS58" s="259"/>
      <c r="AT58" s="259"/>
      <c r="AU58" s="259"/>
      <c r="AV58" s="259"/>
      <c r="AW58" s="259"/>
      <c r="AX58" s="259"/>
      <c r="AY58" s="259"/>
      <c r="BA58" s="105" t="str">
        <f>D58</f>
        <v>Explain here (e.g. flexible in and out)</v>
      </c>
    </row>
    <row r="59" spans="1:53" ht="21" customHeight="1" x14ac:dyDescent="0.25">
      <c r="A59" s="258"/>
      <c r="B59" s="442" t="s">
        <v>4</v>
      </c>
      <c r="C59" s="443"/>
      <c r="D59" s="443"/>
      <c r="E59" s="443"/>
      <c r="F59" s="443"/>
      <c r="G59" s="443"/>
      <c r="H59" s="443"/>
      <c r="I59" s="443"/>
      <c r="J59" s="443"/>
      <c r="K59" s="443"/>
      <c r="L59" s="443"/>
      <c r="M59" s="443"/>
      <c r="N59" s="443"/>
      <c r="O59" s="443"/>
      <c r="P59" s="443"/>
      <c r="Q59" s="443"/>
      <c r="R59" s="443"/>
      <c r="S59" s="443"/>
      <c r="T59" s="443"/>
      <c r="U59" s="443"/>
      <c r="V59" s="259"/>
      <c r="W59" s="259"/>
      <c r="X59" s="259"/>
      <c r="Y59" s="259"/>
      <c r="Z59" s="259"/>
      <c r="AA59" s="259"/>
      <c r="AB59" s="259"/>
      <c r="AC59" s="259"/>
      <c r="AD59" s="259"/>
      <c r="AE59" s="259"/>
      <c r="AF59" s="259"/>
      <c r="AG59" s="259"/>
      <c r="AH59" s="259"/>
      <c r="AI59" s="259"/>
      <c r="AJ59" s="259"/>
      <c r="AK59" s="259"/>
      <c r="AL59" s="259"/>
      <c r="AM59" s="259"/>
      <c r="AN59" s="259"/>
      <c r="AO59" s="259"/>
      <c r="AP59" s="259"/>
      <c r="AQ59" s="259"/>
      <c r="AR59" s="259"/>
      <c r="AS59" s="259"/>
      <c r="AT59" s="259"/>
      <c r="AU59" s="259"/>
      <c r="AV59" s="259"/>
      <c r="AW59" s="259"/>
      <c r="AX59" s="259"/>
      <c r="AY59" s="259"/>
    </row>
    <row r="60" spans="1:53" ht="16.5" customHeight="1" x14ac:dyDescent="0.25">
      <c r="A60" s="258"/>
      <c r="B60" s="429" t="s">
        <v>267</v>
      </c>
      <c r="C60" s="430"/>
      <c r="D60" s="444" t="s">
        <v>268</v>
      </c>
      <c r="E60" s="445"/>
      <c r="F60" s="448" t="s">
        <v>0</v>
      </c>
      <c r="G60" s="376" t="s">
        <v>228</v>
      </c>
      <c r="H60" s="376"/>
      <c r="I60" s="376"/>
      <c r="J60" s="376"/>
      <c r="K60" s="376"/>
      <c r="L60" s="375">
        <v>2030</v>
      </c>
      <c r="M60" s="375"/>
      <c r="N60" s="375"/>
      <c r="O60" s="375"/>
      <c r="P60" s="375"/>
      <c r="Q60" s="376">
        <v>2050</v>
      </c>
      <c r="R60" s="376"/>
      <c r="S60" s="376"/>
      <c r="T60" s="376"/>
      <c r="U60" s="376"/>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row>
    <row r="61" spans="1:53" x14ac:dyDescent="0.25">
      <c r="A61" s="258"/>
      <c r="B61" s="431"/>
      <c r="C61" s="432"/>
      <c r="D61" s="446"/>
      <c r="E61" s="447"/>
      <c r="F61" s="449"/>
      <c r="G61" s="144" t="s">
        <v>219</v>
      </c>
      <c r="H61" s="144" t="s">
        <v>220</v>
      </c>
      <c r="I61" s="144" t="s">
        <v>221</v>
      </c>
      <c r="J61" s="144" t="s">
        <v>222</v>
      </c>
      <c r="K61" s="144" t="s">
        <v>223</v>
      </c>
      <c r="L61" s="143" t="s">
        <v>219</v>
      </c>
      <c r="M61" s="143" t="s">
        <v>220</v>
      </c>
      <c r="N61" s="143" t="s">
        <v>221</v>
      </c>
      <c r="O61" s="143" t="s">
        <v>222</v>
      </c>
      <c r="P61" s="143" t="s">
        <v>223</v>
      </c>
      <c r="Q61" s="144" t="s">
        <v>219</v>
      </c>
      <c r="R61" s="144" t="s">
        <v>220</v>
      </c>
      <c r="S61" s="144" t="s">
        <v>221</v>
      </c>
      <c r="T61" s="144" t="s">
        <v>222</v>
      </c>
      <c r="U61" s="144" t="s">
        <v>223</v>
      </c>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row>
    <row r="62" spans="1:53" ht="15.75" customHeight="1" x14ac:dyDescent="0.25">
      <c r="A62" s="258"/>
      <c r="B62" s="431"/>
      <c r="C62" s="432"/>
      <c r="D62" s="435" t="s">
        <v>242</v>
      </c>
      <c r="E62" s="435"/>
      <c r="F62" s="441" t="s">
        <v>242</v>
      </c>
      <c r="G62" s="92"/>
      <c r="H62" s="100"/>
      <c r="I62" s="100"/>
      <c r="J62" s="100"/>
      <c r="K62" s="100"/>
      <c r="L62" s="92"/>
      <c r="M62" s="100"/>
      <c r="N62" s="100"/>
      <c r="O62" s="100"/>
      <c r="P62" s="100"/>
      <c r="Q62" s="92"/>
      <c r="R62" s="100"/>
      <c r="S62" s="100"/>
      <c r="T62" s="100"/>
      <c r="U62" s="100"/>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row>
    <row r="63" spans="1:53" x14ac:dyDescent="0.25">
      <c r="A63" s="258"/>
      <c r="B63" s="431"/>
      <c r="C63" s="432"/>
      <c r="D63" s="435"/>
      <c r="E63" s="435"/>
      <c r="F63" s="441"/>
      <c r="G63" s="102" t="s">
        <v>226</v>
      </c>
      <c r="H63" s="101" t="s">
        <v>226</v>
      </c>
      <c r="I63" s="101" t="s">
        <v>226</v>
      </c>
      <c r="J63" s="101" t="s">
        <v>226</v>
      </c>
      <c r="K63" s="101" t="s">
        <v>226</v>
      </c>
      <c r="L63" s="102" t="s">
        <v>226</v>
      </c>
      <c r="M63" s="101" t="s">
        <v>226</v>
      </c>
      <c r="N63" s="101" t="s">
        <v>226</v>
      </c>
      <c r="O63" s="101" t="s">
        <v>226</v>
      </c>
      <c r="P63" s="101" t="s">
        <v>226</v>
      </c>
      <c r="Q63" s="102" t="s">
        <v>226</v>
      </c>
      <c r="R63" s="101" t="s">
        <v>226</v>
      </c>
      <c r="S63" s="101" t="s">
        <v>226</v>
      </c>
      <c r="T63" s="101" t="s">
        <v>226</v>
      </c>
      <c r="U63" s="101" t="s">
        <v>226</v>
      </c>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row>
    <row r="64" spans="1:53" x14ac:dyDescent="0.25">
      <c r="A64" s="258"/>
      <c r="B64" s="431"/>
      <c r="C64" s="432"/>
      <c r="D64" s="435" t="s">
        <v>242</v>
      </c>
      <c r="E64" s="435"/>
      <c r="F64" s="441" t="s">
        <v>242</v>
      </c>
      <c r="G64" s="92"/>
      <c r="H64" s="100"/>
      <c r="I64" s="100"/>
      <c r="J64" s="100"/>
      <c r="K64" s="100"/>
      <c r="L64" s="92"/>
      <c r="M64" s="100"/>
      <c r="N64" s="100"/>
      <c r="O64" s="100"/>
      <c r="P64" s="100"/>
      <c r="Q64" s="92"/>
      <c r="R64" s="100"/>
      <c r="S64" s="100"/>
      <c r="T64" s="100"/>
      <c r="U64" s="100"/>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row>
    <row r="65" spans="1:53" x14ac:dyDescent="0.25">
      <c r="A65" s="258"/>
      <c r="B65" s="433"/>
      <c r="C65" s="434"/>
      <c r="D65" s="435"/>
      <c r="E65" s="435"/>
      <c r="F65" s="441"/>
      <c r="G65" s="101" t="s">
        <v>226</v>
      </c>
      <c r="H65" s="101" t="s">
        <v>226</v>
      </c>
      <c r="I65" s="101" t="s">
        <v>226</v>
      </c>
      <c r="J65" s="101" t="s">
        <v>226</v>
      </c>
      <c r="K65" s="101" t="s">
        <v>226</v>
      </c>
      <c r="L65" s="101" t="s">
        <v>226</v>
      </c>
      <c r="M65" s="101" t="s">
        <v>226</v>
      </c>
      <c r="N65" s="101" t="s">
        <v>226</v>
      </c>
      <c r="O65" s="101" t="s">
        <v>226</v>
      </c>
      <c r="P65" s="101" t="s">
        <v>226</v>
      </c>
      <c r="Q65" s="101" t="s">
        <v>226</v>
      </c>
      <c r="R65" s="101" t="s">
        <v>226</v>
      </c>
      <c r="S65" s="101" t="s">
        <v>226</v>
      </c>
      <c r="T65" s="101" t="s">
        <v>226</v>
      </c>
      <c r="U65" s="101" t="s">
        <v>226</v>
      </c>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row>
    <row r="66" spans="1:53" ht="40.5" customHeight="1" x14ac:dyDescent="0.25">
      <c r="A66" s="258"/>
      <c r="B66" s="366" t="s">
        <v>269</v>
      </c>
      <c r="C66" s="366"/>
      <c r="D66" s="428" t="s">
        <v>270</v>
      </c>
      <c r="E66" s="428"/>
      <c r="F66" s="428"/>
      <c r="G66" s="428"/>
      <c r="H66" s="428"/>
      <c r="I66" s="428"/>
      <c r="J66" s="428"/>
      <c r="K66" s="428"/>
      <c r="L66" s="428"/>
      <c r="M66" s="428"/>
      <c r="N66" s="428"/>
      <c r="O66" s="428"/>
      <c r="P66" s="428"/>
      <c r="Q66" s="428"/>
      <c r="R66" s="428"/>
      <c r="S66" s="428"/>
      <c r="T66" s="428"/>
      <c r="U66" s="428"/>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BA66" s="105" t="str">
        <f>D66</f>
        <v>Explain here</v>
      </c>
    </row>
    <row r="67" spans="1:53" ht="21" customHeight="1" x14ac:dyDescent="0.25">
      <c r="A67" s="258"/>
      <c r="B67" s="419" t="s">
        <v>271</v>
      </c>
      <c r="C67" s="419"/>
      <c r="D67" s="419"/>
      <c r="E67" s="419"/>
      <c r="F67" s="419"/>
      <c r="G67" s="419"/>
      <c r="H67" s="419"/>
      <c r="I67" s="419"/>
      <c r="J67" s="419"/>
      <c r="K67" s="419"/>
      <c r="L67" s="419"/>
      <c r="M67" s="419"/>
      <c r="N67" s="419"/>
      <c r="O67" s="419"/>
      <c r="P67" s="419"/>
      <c r="Q67" s="419"/>
      <c r="R67" s="419"/>
      <c r="S67" s="419"/>
      <c r="T67" s="419"/>
      <c r="U67" s="41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row>
    <row r="68" spans="1:53" ht="16.5" customHeight="1" x14ac:dyDescent="0.25">
      <c r="A68" s="258"/>
      <c r="B68" s="459" t="s">
        <v>5</v>
      </c>
      <c r="C68" s="459"/>
      <c r="D68" s="427" t="s">
        <v>272</v>
      </c>
      <c r="E68" s="427"/>
      <c r="F68" s="427" t="s">
        <v>0</v>
      </c>
      <c r="G68" s="376" t="s">
        <v>228</v>
      </c>
      <c r="H68" s="376"/>
      <c r="I68" s="376"/>
      <c r="J68" s="376"/>
      <c r="K68" s="376"/>
      <c r="L68" s="375">
        <v>2030</v>
      </c>
      <c r="M68" s="375"/>
      <c r="N68" s="375"/>
      <c r="O68" s="375"/>
      <c r="P68" s="375"/>
      <c r="Q68" s="376">
        <v>2050</v>
      </c>
      <c r="R68" s="376"/>
      <c r="S68" s="376"/>
      <c r="T68" s="376"/>
      <c r="U68" s="376"/>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row>
    <row r="69" spans="1:53" ht="15.75" customHeight="1" x14ac:dyDescent="0.25">
      <c r="A69" s="258"/>
      <c r="B69" s="459"/>
      <c r="C69" s="459"/>
      <c r="D69" s="427"/>
      <c r="E69" s="427"/>
      <c r="F69" s="427"/>
      <c r="G69" s="144" t="s">
        <v>219</v>
      </c>
      <c r="H69" s="144" t="s">
        <v>220</v>
      </c>
      <c r="I69" s="144" t="s">
        <v>221</v>
      </c>
      <c r="J69" s="144" t="s">
        <v>222</v>
      </c>
      <c r="K69" s="144" t="s">
        <v>223</v>
      </c>
      <c r="L69" s="143" t="s">
        <v>219</v>
      </c>
      <c r="M69" s="143" t="s">
        <v>220</v>
      </c>
      <c r="N69" s="143" t="s">
        <v>221</v>
      </c>
      <c r="O69" s="143" t="s">
        <v>222</v>
      </c>
      <c r="P69" s="143" t="s">
        <v>223</v>
      </c>
      <c r="Q69" s="144" t="s">
        <v>219</v>
      </c>
      <c r="R69" s="144" t="s">
        <v>220</v>
      </c>
      <c r="S69" s="144" t="s">
        <v>221</v>
      </c>
      <c r="T69" s="144" t="s">
        <v>222</v>
      </c>
      <c r="U69" s="144" t="s">
        <v>223</v>
      </c>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row>
    <row r="70" spans="1:53" ht="15.75" customHeight="1" x14ac:dyDescent="0.25">
      <c r="A70" s="258"/>
      <c r="B70" s="459"/>
      <c r="C70" s="459"/>
      <c r="D70" s="435" t="s">
        <v>264</v>
      </c>
      <c r="E70" s="435"/>
      <c r="F70" s="441" t="s">
        <v>264</v>
      </c>
      <c r="G70" s="92"/>
      <c r="H70" s="100"/>
      <c r="I70" s="100"/>
      <c r="J70" s="100"/>
      <c r="K70" s="100"/>
      <c r="L70" s="92"/>
      <c r="M70" s="100"/>
      <c r="N70" s="100"/>
      <c r="O70" s="100"/>
      <c r="P70" s="100"/>
      <c r="Q70" s="92"/>
      <c r="R70" s="100"/>
      <c r="S70" s="100"/>
      <c r="T70" s="100"/>
      <c r="U70" s="100"/>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row>
    <row r="71" spans="1:53" ht="15.75" customHeight="1" x14ac:dyDescent="0.25">
      <c r="A71" s="258"/>
      <c r="B71" s="459"/>
      <c r="C71" s="459"/>
      <c r="D71" s="435"/>
      <c r="E71" s="435"/>
      <c r="F71" s="441"/>
      <c r="G71" s="102" t="s">
        <v>226</v>
      </c>
      <c r="H71" s="101" t="s">
        <v>226</v>
      </c>
      <c r="I71" s="101" t="s">
        <v>226</v>
      </c>
      <c r="J71" s="101" t="s">
        <v>226</v>
      </c>
      <c r="K71" s="101" t="s">
        <v>226</v>
      </c>
      <c r="L71" s="102" t="s">
        <v>226</v>
      </c>
      <c r="M71" s="101" t="s">
        <v>226</v>
      </c>
      <c r="N71" s="101" t="s">
        <v>226</v>
      </c>
      <c r="O71" s="101" t="s">
        <v>226</v>
      </c>
      <c r="P71" s="101" t="s">
        <v>226</v>
      </c>
      <c r="Q71" s="102" t="s">
        <v>226</v>
      </c>
      <c r="R71" s="101" t="s">
        <v>226</v>
      </c>
      <c r="S71" s="101" t="s">
        <v>226</v>
      </c>
      <c r="T71" s="101" t="s">
        <v>226</v>
      </c>
      <c r="U71" s="101" t="s">
        <v>226</v>
      </c>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row>
    <row r="72" spans="1:53" ht="15.75" customHeight="1" x14ac:dyDescent="0.25">
      <c r="A72" s="258"/>
      <c r="B72" s="459"/>
      <c r="C72" s="459"/>
      <c r="D72" s="435" t="s">
        <v>264</v>
      </c>
      <c r="E72" s="435"/>
      <c r="F72" s="441" t="s">
        <v>264</v>
      </c>
      <c r="G72" s="92"/>
      <c r="H72" s="100"/>
      <c r="I72" s="100"/>
      <c r="J72" s="100"/>
      <c r="K72" s="100"/>
      <c r="L72" s="92"/>
      <c r="M72" s="100"/>
      <c r="N72" s="100"/>
      <c r="O72" s="100"/>
      <c r="P72" s="100"/>
      <c r="Q72" s="92"/>
      <c r="R72" s="100"/>
      <c r="S72" s="100"/>
      <c r="T72" s="100"/>
      <c r="U72" s="100"/>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row>
    <row r="73" spans="1:53" ht="15.75" customHeight="1" x14ac:dyDescent="0.25">
      <c r="A73" s="258"/>
      <c r="B73" s="459"/>
      <c r="C73" s="459"/>
      <c r="D73" s="435"/>
      <c r="E73" s="435"/>
      <c r="F73" s="441"/>
      <c r="G73" s="101" t="s">
        <v>226</v>
      </c>
      <c r="H73" s="101" t="s">
        <v>226</v>
      </c>
      <c r="I73" s="101" t="s">
        <v>226</v>
      </c>
      <c r="J73" s="101" t="s">
        <v>226</v>
      </c>
      <c r="K73" s="101" t="s">
        <v>226</v>
      </c>
      <c r="L73" s="101" t="s">
        <v>226</v>
      </c>
      <c r="M73" s="101" t="s">
        <v>226</v>
      </c>
      <c r="N73" s="101" t="s">
        <v>226</v>
      </c>
      <c r="O73" s="101" t="s">
        <v>226</v>
      </c>
      <c r="P73" s="101" t="s">
        <v>226</v>
      </c>
      <c r="Q73" s="101" t="s">
        <v>226</v>
      </c>
      <c r="R73" s="101" t="s">
        <v>226</v>
      </c>
      <c r="S73" s="101" t="s">
        <v>226</v>
      </c>
      <c r="T73" s="101" t="s">
        <v>226</v>
      </c>
      <c r="U73" s="101" t="s">
        <v>226</v>
      </c>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row>
    <row r="74" spans="1:53" ht="15.75" customHeight="1" x14ac:dyDescent="0.25">
      <c r="A74" s="258"/>
      <c r="B74" s="459"/>
      <c r="C74" s="459"/>
      <c r="D74" s="435" t="s">
        <v>264</v>
      </c>
      <c r="E74" s="435"/>
      <c r="F74" s="441" t="s">
        <v>264</v>
      </c>
      <c r="G74" s="92"/>
      <c r="H74" s="100"/>
      <c r="I74" s="100"/>
      <c r="J74" s="100"/>
      <c r="K74" s="100"/>
      <c r="L74" s="92"/>
      <c r="M74" s="100"/>
      <c r="N74" s="100"/>
      <c r="O74" s="100"/>
      <c r="P74" s="100"/>
      <c r="Q74" s="92"/>
      <c r="R74" s="100"/>
      <c r="S74" s="100"/>
      <c r="T74" s="100"/>
      <c r="U74" s="100"/>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row>
    <row r="75" spans="1:53" ht="15.75" customHeight="1" x14ac:dyDescent="0.25">
      <c r="A75" s="258"/>
      <c r="B75" s="459"/>
      <c r="C75" s="459"/>
      <c r="D75" s="435"/>
      <c r="E75" s="435"/>
      <c r="F75" s="441"/>
      <c r="G75" s="101" t="s">
        <v>226</v>
      </c>
      <c r="H75" s="101" t="s">
        <v>226</v>
      </c>
      <c r="I75" s="101" t="s">
        <v>226</v>
      </c>
      <c r="J75" s="101" t="s">
        <v>226</v>
      </c>
      <c r="K75" s="101" t="s">
        <v>226</v>
      </c>
      <c r="L75" s="101" t="s">
        <v>226</v>
      </c>
      <c r="M75" s="101" t="s">
        <v>226</v>
      </c>
      <c r="N75" s="101" t="s">
        <v>226</v>
      </c>
      <c r="O75" s="101" t="s">
        <v>226</v>
      </c>
      <c r="P75" s="101" t="s">
        <v>226</v>
      </c>
      <c r="Q75" s="101" t="s">
        <v>226</v>
      </c>
      <c r="R75" s="101" t="s">
        <v>226</v>
      </c>
      <c r="S75" s="101" t="s">
        <v>226</v>
      </c>
      <c r="T75" s="101" t="s">
        <v>226</v>
      </c>
      <c r="U75" s="101" t="s">
        <v>226</v>
      </c>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row>
    <row r="76" spans="1:53" ht="15.75" customHeight="1" x14ac:dyDescent="0.25">
      <c r="A76" s="258"/>
      <c r="B76" s="459"/>
      <c r="C76" s="459"/>
      <c r="D76" s="435" t="s">
        <v>264</v>
      </c>
      <c r="E76" s="435"/>
      <c r="F76" s="441" t="s">
        <v>264</v>
      </c>
      <c r="G76" s="92"/>
      <c r="H76" s="100"/>
      <c r="I76" s="100"/>
      <c r="J76" s="100"/>
      <c r="K76" s="100"/>
      <c r="L76" s="92"/>
      <c r="M76" s="100"/>
      <c r="N76" s="100"/>
      <c r="O76" s="100"/>
      <c r="P76" s="100"/>
      <c r="Q76" s="92"/>
      <c r="R76" s="100"/>
      <c r="S76" s="100"/>
      <c r="T76" s="100"/>
      <c r="U76" s="100"/>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row>
    <row r="77" spans="1:53" ht="16.5" customHeight="1" x14ac:dyDescent="0.25">
      <c r="A77" s="258"/>
      <c r="B77" s="459"/>
      <c r="C77" s="459"/>
      <c r="D77" s="435"/>
      <c r="E77" s="435"/>
      <c r="F77" s="441"/>
      <c r="G77" s="101" t="s">
        <v>226</v>
      </c>
      <c r="H77" s="101" t="s">
        <v>226</v>
      </c>
      <c r="I77" s="101" t="s">
        <v>226</v>
      </c>
      <c r="J77" s="101" t="s">
        <v>226</v>
      </c>
      <c r="K77" s="101" t="s">
        <v>226</v>
      </c>
      <c r="L77" s="101" t="s">
        <v>226</v>
      </c>
      <c r="M77" s="101" t="s">
        <v>226</v>
      </c>
      <c r="N77" s="101" t="s">
        <v>226</v>
      </c>
      <c r="O77" s="101" t="s">
        <v>226</v>
      </c>
      <c r="P77" s="101" t="s">
        <v>226</v>
      </c>
      <c r="Q77" s="101" t="s">
        <v>226</v>
      </c>
      <c r="R77" s="101" t="s">
        <v>226</v>
      </c>
      <c r="S77" s="101" t="s">
        <v>226</v>
      </c>
      <c r="T77" s="101" t="s">
        <v>226</v>
      </c>
      <c r="U77" s="101" t="s">
        <v>226</v>
      </c>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row>
    <row r="78" spans="1:53" ht="40.5" customHeight="1" x14ac:dyDescent="0.25">
      <c r="A78" s="258"/>
      <c r="B78" s="366" t="s">
        <v>273</v>
      </c>
      <c r="C78" s="366"/>
      <c r="D78" s="363" t="s">
        <v>274</v>
      </c>
      <c r="E78" s="364"/>
      <c r="F78" s="364"/>
      <c r="G78" s="364"/>
      <c r="H78" s="364"/>
      <c r="I78" s="364"/>
      <c r="J78" s="364"/>
      <c r="K78" s="364"/>
      <c r="L78" s="364"/>
      <c r="M78" s="364"/>
      <c r="N78" s="364"/>
      <c r="O78" s="364"/>
      <c r="P78" s="364"/>
      <c r="Q78" s="364"/>
      <c r="R78" s="364"/>
      <c r="S78" s="364"/>
      <c r="T78" s="364"/>
      <c r="U78" s="365"/>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BA78" s="105" t="str">
        <f>D78</f>
        <v>Explain here (e.g. emission factors if calculated)</v>
      </c>
    </row>
    <row r="79" spans="1:53" ht="21" customHeight="1" x14ac:dyDescent="0.25">
      <c r="A79" s="258"/>
      <c r="B79" s="450" t="s">
        <v>7</v>
      </c>
      <c r="C79" s="451"/>
      <c r="D79" s="451"/>
      <c r="E79" s="451"/>
      <c r="F79" s="451"/>
      <c r="G79" s="451"/>
      <c r="H79" s="451"/>
      <c r="I79" s="451"/>
      <c r="J79" s="451"/>
      <c r="K79" s="451"/>
      <c r="L79" s="451"/>
      <c r="M79" s="451"/>
      <c r="N79" s="451"/>
      <c r="O79" s="451"/>
      <c r="P79" s="451"/>
      <c r="Q79" s="451"/>
      <c r="R79" s="451"/>
      <c r="S79" s="451"/>
      <c r="T79" s="451"/>
      <c r="U79" s="452"/>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row>
    <row r="80" spans="1:53" ht="15.75" customHeight="1" x14ac:dyDescent="0.25">
      <c r="A80" s="258"/>
      <c r="B80" s="423" t="s">
        <v>275</v>
      </c>
      <c r="C80" s="424"/>
      <c r="D80" s="453" t="s">
        <v>0</v>
      </c>
      <c r="E80" s="454"/>
      <c r="F80" s="455"/>
      <c r="G80" s="376" t="s">
        <v>228</v>
      </c>
      <c r="H80" s="376"/>
      <c r="I80" s="376"/>
      <c r="J80" s="376"/>
      <c r="K80" s="376"/>
      <c r="L80" s="375">
        <v>2030</v>
      </c>
      <c r="M80" s="375"/>
      <c r="N80" s="375"/>
      <c r="O80" s="375"/>
      <c r="P80" s="375"/>
      <c r="Q80" s="376">
        <v>2050</v>
      </c>
      <c r="R80" s="376"/>
      <c r="S80" s="376"/>
      <c r="T80" s="376"/>
      <c r="U80" s="376"/>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row>
    <row r="81" spans="1:53" x14ac:dyDescent="0.25">
      <c r="A81" s="258"/>
      <c r="B81" s="425"/>
      <c r="C81" s="426"/>
      <c r="D81" s="456"/>
      <c r="E81" s="457"/>
      <c r="F81" s="458"/>
      <c r="G81" s="144" t="s">
        <v>219</v>
      </c>
      <c r="H81" s="144" t="s">
        <v>220</v>
      </c>
      <c r="I81" s="144" t="s">
        <v>221</v>
      </c>
      <c r="J81" s="144" t="s">
        <v>222</v>
      </c>
      <c r="K81" s="144" t="s">
        <v>223</v>
      </c>
      <c r="L81" s="143" t="s">
        <v>219</v>
      </c>
      <c r="M81" s="143" t="s">
        <v>220</v>
      </c>
      <c r="N81" s="143" t="s">
        <v>221</v>
      </c>
      <c r="O81" s="143" t="s">
        <v>222</v>
      </c>
      <c r="P81" s="143" t="s">
        <v>223</v>
      </c>
      <c r="Q81" s="144" t="s">
        <v>219</v>
      </c>
      <c r="R81" s="144" t="s">
        <v>220</v>
      </c>
      <c r="S81" s="144" t="s">
        <v>221</v>
      </c>
      <c r="T81" s="144" t="s">
        <v>222</v>
      </c>
      <c r="U81" s="144" t="s">
        <v>223</v>
      </c>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row>
    <row r="82" spans="1:53" x14ac:dyDescent="0.25">
      <c r="A82" s="258"/>
      <c r="B82" s="460" t="s">
        <v>276</v>
      </c>
      <c r="C82" s="461"/>
      <c r="D82" s="399" t="s">
        <v>242</v>
      </c>
      <c r="E82" s="399"/>
      <c r="F82" s="399"/>
      <c r="G82" s="92"/>
      <c r="H82" s="100"/>
      <c r="I82" s="100"/>
      <c r="J82" s="100"/>
      <c r="K82" s="100"/>
      <c r="L82" s="92"/>
      <c r="M82" s="100"/>
      <c r="N82" s="100"/>
      <c r="O82" s="100"/>
      <c r="P82" s="100"/>
      <c r="Q82" s="92"/>
      <c r="R82" s="100"/>
      <c r="S82" s="100"/>
      <c r="T82" s="100"/>
      <c r="U82" s="100"/>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row>
    <row r="83" spans="1:53" x14ac:dyDescent="0.25">
      <c r="A83" s="258"/>
      <c r="B83" s="462"/>
      <c r="C83" s="463"/>
      <c r="D83" s="399"/>
      <c r="E83" s="399"/>
      <c r="F83" s="399"/>
      <c r="G83" s="102" t="s">
        <v>226</v>
      </c>
      <c r="H83" s="101" t="s">
        <v>226</v>
      </c>
      <c r="I83" s="101" t="s">
        <v>226</v>
      </c>
      <c r="J83" s="101" t="s">
        <v>226</v>
      </c>
      <c r="K83" s="101" t="s">
        <v>226</v>
      </c>
      <c r="L83" s="102" t="s">
        <v>226</v>
      </c>
      <c r="M83" s="101" t="s">
        <v>226</v>
      </c>
      <c r="N83" s="101" t="s">
        <v>226</v>
      </c>
      <c r="O83" s="101" t="s">
        <v>226</v>
      </c>
      <c r="P83" s="101" t="s">
        <v>226</v>
      </c>
      <c r="Q83" s="102" t="s">
        <v>226</v>
      </c>
      <c r="R83" s="101" t="s">
        <v>226</v>
      </c>
      <c r="S83" s="101" t="s">
        <v>226</v>
      </c>
      <c r="T83" s="101" t="s">
        <v>226</v>
      </c>
      <c r="U83" s="101" t="s">
        <v>226</v>
      </c>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row>
    <row r="84" spans="1:53" x14ac:dyDescent="0.25">
      <c r="A84" s="258"/>
      <c r="B84" s="460" t="s">
        <v>276</v>
      </c>
      <c r="C84" s="461"/>
      <c r="D84" s="399" t="s">
        <v>242</v>
      </c>
      <c r="E84" s="399"/>
      <c r="F84" s="399"/>
      <c r="G84" s="92"/>
      <c r="H84" s="100"/>
      <c r="I84" s="100"/>
      <c r="J84" s="100"/>
      <c r="K84" s="100"/>
      <c r="L84" s="92"/>
      <c r="M84" s="100"/>
      <c r="N84" s="100"/>
      <c r="O84" s="100"/>
      <c r="P84" s="100"/>
      <c r="Q84" s="92"/>
      <c r="R84" s="100"/>
      <c r="S84" s="100"/>
      <c r="T84" s="100"/>
      <c r="U84" s="100"/>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row>
    <row r="85" spans="1:53" x14ac:dyDescent="0.25">
      <c r="A85" s="258"/>
      <c r="B85" s="462"/>
      <c r="C85" s="463"/>
      <c r="D85" s="399"/>
      <c r="E85" s="399"/>
      <c r="F85" s="399"/>
      <c r="G85" s="101" t="s">
        <v>226</v>
      </c>
      <c r="H85" s="101" t="s">
        <v>226</v>
      </c>
      <c r="I85" s="101" t="s">
        <v>226</v>
      </c>
      <c r="J85" s="101" t="s">
        <v>226</v>
      </c>
      <c r="K85" s="101" t="s">
        <v>226</v>
      </c>
      <c r="L85" s="101" t="s">
        <v>226</v>
      </c>
      <c r="M85" s="101" t="s">
        <v>226</v>
      </c>
      <c r="N85" s="101" t="s">
        <v>226</v>
      </c>
      <c r="O85" s="101" t="s">
        <v>226</v>
      </c>
      <c r="P85" s="101" t="s">
        <v>226</v>
      </c>
      <c r="Q85" s="101" t="s">
        <v>226</v>
      </c>
      <c r="R85" s="101" t="s">
        <v>226</v>
      </c>
      <c r="S85" s="101" t="s">
        <v>226</v>
      </c>
      <c r="T85" s="101" t="s">
        <v>226</v>
      </c>
      <c r="U85" s="101" t="s">
        <v>226</v>
      </c>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row>
    <row r="86" spans="1:53" x14ac:dyDescent="0.25">
      <c r="A86" s="258"/>
      <c r="B86" s="460" t="s">
        <v>276</v>
      </c>
      <c r="C86" s="461"/>
      <c r="D86" s="399" t="s">
        <v>242</v>
      </c>
      <c r="E86" s="399"/>
      <c r="F86" s="399"/>
      <c r="G86" s="92"/>
      <c r="H86" s="100"/>
      <c r="I86" s="100"/>
      <c r="J86" s="100"/>
      <c r="K86" s="100"/>
      <c r="L86" s="92"/>
      <c r="M86" s="100"/>
      <c r="N86" s="100"/>
      <c r="O86" s="100"/>
      <c r="P86" s="100"/>
      <c r="Q86" s="92"/>
      <c r="R86" s="100"/>
      <c r="S86" s="100"/>
      <c r="T86" s="100"/>
      <c r="U86" s="100"/>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row>
    <row r="87" spans="1:53" x14ac:dyDescent="0.25">
      <c r="A87" s="258"/>
      <c r="B87" s="462"/>
      <c r="C87" s="463"/>
      <c r="D87" s="399"/>
      <c r="E87" s="399"/>
      <c r="F87" s="399"/>
      <c r="G87" s="101" t="s">
        <v>226</v>
      </c>
      <c r="H87" s="101" t="s">
        <v>226</v>
      </c>
      <c r="I87" s="101" t="s">
        <v>226</v>
      </c>
      <c r="J87" s="101" t="s">
        <v>226</v>
      </c>
      <c r="K87" s="101" t="s">
        <v>226</v>
      </c>
      <c r="L87" s="101" t="s">
        <v>226</v>
      </c>
      <c r="M87" s="101" t="s">
        <v>226</v>
      </c>
      <c r="N87" s="101" t="s">
        <v>226</v>
      </c>
      <c r="O87" s="101" t="s">
        <v>226</v>
      </c>
      <c r="P87" s="101" t="s">
        <v>226</v>
      </c>
      <c r="Q87" s="101" t="s">
        <v>226</v>
      </c>
      <c r="R87" s="101" t="s">
        <v>226</v>
      </c>
      <c r="S87" s="101" t="s">
        <v>226</v>
      </c>
      <c r="T87" s="101" t="s">
        <v>226</v>
      </c>
      <c r="U87" s="101" t="s">
        <v>226</v>
      </c>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row>
    <row r="88" spans="1:53" x14ac:dyDescent="0.25">
      <c r="A88" s="258"/>
      <c r="B88" s="460" t="s">
        <v>276</v>
      </c>
      <c r="C88" s="461"/>
      <c r="D88" s="399" t="s">
        <v>242</v>
      </c>
      <c r="E88" s="399"/>
      <c r="F88" s="399"/>
      <c r="G88" s="92"/>
      <c r="H88" s="100"/>
      <c r="I88" s="100"/>
      <c r="J88" s="100"/>
      <c r="K88" s="100"/>
      <c r="L88" s="92"/>
      <c r="M88" s="100"/>
      <c r="N88" s="100"/>
      <c r="O88" s="100"/>
      <c r="P88" s="100"/>
      <c r="Q88" s="92"/>
      <c r="R88" s="100"/>
      <c r="S88" s="100"/>
      <c r="T88" s="100"/>
      <c r="U88" s="100"/>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row>
    <row r="89" spans="1:53" x14ac:dyDescent="0.25">
      <c r="A89" s="258"/>
      <c r="B89" s="462"/>
      <c r="C89" s="463"/>
      <c r="D89" s="399"/>
      <c r="E89" s="399"/>
      <c r="F89" s="399"/>
      <c r="G89" s="101" t="s">
        <v>226</v>
      </c>
      <c r="H89" s="101" t="s">
        <v>226</v>
      </c>
      <c r="I89" s="101" t="s">
        <v>226</v>
      </c>
      <c r="J89" s="101" t="s">
        <v>226</v>
      </c>
      <c r="K89" s="101" t="s">
        <v>226</v>
      </c>
      <c r="L89" s="101" t="s">
        <v>226</v>
      </c>
      <c r="M89" s="101" t="s">
        <v>226</v>
      </c>
      <c r="N89" s="101" t="s">
        <v>226</v>
      </c>
      <c r="O89" s="101" t="s">
        <v>226</v>
      </c>
      <c r="P89" s="101" t="s">
        <v>226</v>
      </c>
      <c r="Q89" s="101" t="s">
        <v>226</v>
      </c>
      <c r="R89" s="101" t="s">
        <v>226</v>
      </c>
      <c r="S89" s="101" t="s">
        <v>226</v>
      </c>
      <c r="T89" s="101" t="s">
        <v>226</v>
      </c>
      <c r="U89" s="101" t="s">
        <v>226</v>
      </c>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row>
    <row r="90" spans="1:53" ht="36.75" customHeight="1" x14ac:dyDescent="0.25">
      <c r="A90" s="258"/>
      <c r="B90" s="366" t="s">
        <v>277</v>
      </c>
      <c r="C90" s="366"/>
      <c r="D90" s="363" t="s">
        <v>270</v>
      </c>
      <c r="E90" s="364"/>
      <c r="F90" s="364"/>
      <c r="G90" s="364"/>
      <c r="H90" s="364"/>
      <c r="I90" s="364"/>
      <c r="J90" s="364"/>
      <c r="K90" s="364"/>
      <c r="L90" s="364"/>
      <c r="M90" s="364"/>
      <c r="N90" s="364"/>
      <c r="O90" s="364"/>
      <c r="P90" s="364"/>
      <c r="Q90" s="364"/>
      <c r="R90" s="364"/>
      <c r="S90" s="364"/>
      <c r="T90" s="364"/>
      <c r="U90" s="365"/>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row>
    <row r="91" spans="1:53" ht="21" customHeight="1" x14ac:dyDescent="0.25">
      <c r="A91" s="258"/>
      <c r="B91" s="450" t="s">
        <v>152</v>
      </c>
      <c r="C91" s="451"/>
      <c r="D91" s="451"/>
      <c r="E91" s="451"/>
      <c r="F91" s="451"/>
      <c r="G91" s="451"/>
      <c r="H91" s="451"/>
      <c r="I91" s="451"/>
      <c r="J91" s="451"/>
      <c r="K91" s="451"/>
      <c r="L91" s="451"/>
      <c r="M91" s="451"/>
      <c r="N91" s="451"/>
      <c r="O91" s="451"/>
      <c r="P91" s="451"/>
      <c r="Q91" s="451"/>
      <c r="R91" s="451"/>
      <c r="S91" s="451"/>
      <c r="T91" s="451"/>
      <c r="U91" s="452"/>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row>
    <row r="92" spans="1:53" ht="15" customHeight="1" x14ac:dyDescent="0.25">
      <c r="A92" s="258"/>
      <c r="B92" s="80">
        <v>1</v>
      </c>
      <c r="C92" s="464" t="s">
        <v>278</v>
      </c>
      <c r="D92" s="465"/>
      <c r="E92" s="465"/>
      <c r="F92" s="465"/>
      <c r="G92" s="465"/>
      <c r="H92" s="465"/>
      <c r="I92" s="465"/>
      <c r="J92" s="465"/>
      <c r="K92" s="465"/>
      <c r="L92" s="465"/>
      <c r="M92" s="465"/>
      <c r="N92" s="465"/>
      <c r="O92" s="465"/>
      <c r="P92" s="465"/>
      <c r="Q92" s="465"/>
      <c r="R92" s="465"/>
      <c r="S92" s="465"/>
      <c r="T92" s="465"/>
      <c r="U92" s="466"/>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BA92" s="105" t="str">
        <f>C92</f>
        <v>CBS 2021, Hernieuwbare elektriciteit; productie en vermogen, 2021 , https://www.cbs.nl/nl-nl/cijfers/detail/82610NED</v>
      </c>
    </row>
    <row r="93" spans="1:53" ht="15" customHeight="1" x14ac:dyDescent="0.25">
      <c r="A93" s="258"/>
      <c r="B93" s="80">
        <v>2</v>
      </c>
      <c r="C93" s="464" t="s">
        <v>279</v>
      </c>
      <c r="D93" s="465"/>
      <c r="E93" s="465"/>
      <c r="F93" s="465"/>
      <c r="G93" s="465"/>
      <c r="H93" s="465"/>
      <c r="I93" s="465"/>
      <c r="J93" s="465"/>
      <c r="K93" s="465"/>
      <c r="L93" s="465"/>
      <c r="M93" s="465"/>
      <c r="N93" s="465"/>
      <c r="O93" s="465"/>
      <c r="P93" s="465"/>
      <c r="Q93" s="465"/>
      <c r="R93" s="465"/>
      <c r="S93" s="465"/>
      <c r="T93" s="465"/>
      <c r="U93" s="466"/>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BA93" s="105" t="str">
        <f t="shared" ref="BA93:BA108" si="0">C93</f>
        <v>Global Wind Report 2021, GWEC, 2021, https://gwec.net/global-wind-report-2021</v>
      </c>
    </row>
    <row r="94" spans="1:53" ht="15" customHeight="1" x14ac:dyDescent="0.25">
      <c r="A94" s="258"/>
      <c r="B94" s="80">
        <v>3</v>
      </c>
      <c r="C94" s="464" t="s">
        <v>280</v>
      </c>
      <c r="D94" s="465"/>
      <c r="E94" s="465"/>
      <c r="F94" s="465"/>
      <c r="G94" s="465"/>
      <c r="H94" s="465"/>
      <c r="I94" s="465"/>
      <c r="J94" s="465"/>
      <c r="K94" s="465"/>
      <c r="L94" s="465"/>
      <c r="M94" s="465"/>
      <c r="N94" s="465"/>
      <c r="O94" s="465"/>
      <c r="P94" s="465"/>
      <c r="Q94" s="465"/>
      <c r="R94" s="465"/>
      <c r="S94" s="465"/>
      <c r="T94" s="465"/>
      <c r="U94" s="466"/>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BA94" s="105" t="str">
        <f t="shared" si="0"/>
        <v>JRC 2018, Cost development of low carbon energy technologies: Scenario-based cost trajectories to 2050, 2017 edition, Tsiropoulos, I., Tarvydas, D. and Zucker, A., https://publications.jrc.ec.europa.eu/repository/handle/JRC109894</v>
      </c>
    </row>
    <row r="95" spans="1:53" ht="15" customHeight="1" x14ac:dyDescent="0.25">
      <c r="A95" s="258"/>
      <c r="B95" s="80">
        <v>4</v>
      </c>
      <c r="C95" s="464" t="s">
        <v>281</v>
      </c>
      <c r="D95" s="465"/>
      <c r="E95" s="465"/>
      <c r="F95" s="465"/>
      <c r="G95" s="465"/>
      <c r="H95" s="465"/>
      <c r="I95" s="465"/>
      <c r="J95" s="465"/>
      <c r="K95" s="465"/>
      <c r="L95" s="465"/>
      <c r="M95" s="465"/>
      <c r="N95" s="465"/>
      <c r="O95" s="465"/>
      <c r="P95" s="465"/>
      <c r="Q95" s="465"/>
      <c r="R95" s="465"/>
      <c r="S95" s="465"/>
      <c r="T95" s="465"/>
      <c r="U95" s="466"/>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BA95" s="105" t="str">
        <f t="shared" si="0"/>
        <v>Quintel 2019, RES-regio's in het Energietransitiemodel, https://quintel.com/res (sourced August 2019)</v>
      </c>
    </row>
    <row r="96" spans="1:53" ht="15" customHeight="1" x14ac:dyDescent="0.25">
      <c r="A96" s="258"/>
      <c r="B96" s="80">
        <v>5</v>
      </c>
      <c r="C96" s="464" t="s">
        <v>282</v>
      </c>
      <c r="D96" s="465"/>
      <c r="E96" s="465"/>
      <c r="F96" s="465"/>
      <c r="G96" s="465"/>
      <c r="H96" s="465"/>
      <c r="I96" s="465"/>
      <c r="J96" s="465"/>
      <c r="K96" s="465"/>
      <c r="L96" s="465"/>
      <c r="M96" s="465"/>
      <c r="N96" s="465"/>
      <c r="O96" s="465"/>
      <c r="P96" s="465"/>
      <c r="Q96" s="465"/>
      <c r="R96" s="465"/>
      <c r="S96" s="465"/>
      <c r="T96" s="465"/>
      <c r="U96" s="466"/>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BA96" s="105" t="str">
        <f t="shared" si="0"/>
        <v>Gasunie (2018), Verkenning 2050, Gasunie, 2018, https://www.gasunie.nl/expertise/aardgas/energiemix-2050</v>
      </c>
    </row>
    <row r="97" spans="1:53" ht="15" customHeight="1" x14ac:dyDescent="0.25">
      <c r="A97" s="258"/>
      <c r="B97" s="80">
        <v>6</v>
      </c>
      <c r="C97" s="464" t="s">
        <v>283</v>
      </c>
      <c r="D97" s="465"/>
      <c r="E97" s="465"/>
      <c r="F97" s="465"/>
      <c r="G97" s="465"/>
      <c r="H97" s="465"/>
      <c r="I97" s="465"/>
      <c r="J97" s="465"/>
      <c r="K97" s="465"/>
      <c r="L97" s="465"/>
      <c r="M97" s="465"/>
      <c r="N97" s="465"/>
      <c r="O97" s="465"/>
      <c r="P97" s="465"/>
      <c r="Q97" s="465"/>
      <c r="R97" s="465"/>
      <c r="S97" s="465"/>
      <c r="T97" s="465"/>
      <c r="U97" s="466"/>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BA97" s="105" t="str">
        <f t="shared" si="0"/>
        <v xml:space="preserve">CE Delft (2017), Net voor de Toekomst, 2017, https://ce.nl/publicaties/net-voor-de-toekomst </v>
      </c>
    </row>
    <row r="98" spans="1:53" ht="16.5" customHeight="1" x14ac:dyDescent="0.25">
      <c r="A98" s="258"/>
      <c r="B98" s="80">
        <v>7</v>
      </c>
      <c r="C98" s="464" t="s">
        <v>284</v>
      </c>
      <c r="D98" s="465"/>
      <c r="E98" s="465"/>
      <c r="F98" s="465"/>
      <c r="G98" s="465"/>
      <c r="H98" s="465"/>
      <c r="I98" s="465"/>
      <c r="J98" s="465"/>
      <c r="K98" s="465"/>
      <c r="L98" s="465"/>
      <c r="M98" s="465"/>
      <c r="N98" s="465"/>
      <c r="O98" s="465"/>
      <c r="P98" s="465"/>
      <c r="Q98" s="465"/>
      <c r="R98" s="465"/>
      <c r="S98" s="465"/>
      <c r="T98" s="465"/>
      <c r="U98" s="466"/>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BA98" s="105" t="str">
        <f t="shared" si="0"/>
        <v>Berenschot (2018), Het ‘warmtescenario’: Beelden van een op warmte gerichte energievoorziening in 2030 en 2050, Scenariostudie ten behoeve van het Klimaatakkoord, Eindrapport, Utrecht, september 2018, https://www.berenschot.nl/media/352kcpid/cases-het_warmtescenario.pdf</v>
      </c>
    </row>
    <row r="99" spans="1:53" ht="15" customHeight="1" x14ac:dyDescent="0.25">
      <c r="A99" s="258"/>
      <c r="B99" s="80">
        <v>8</v>
      </c>
      <c r="C99" s="464" t="s">
        <v>285</v>
      </c>
      <c r="D99" s="465"/>
      <c r="E99" s="465"/>
      <c r="F99" s="465"/>
      <c r="G99" s="465"/>
      <c r="H99" s="465"/>
      <c r="I99" s="465"/>
      <c r="J99" s="465"/>
      <c r="K99" s="465"/>
      <c r="L99" s="465"/>
      <c r="M99" s="465"/>
      <c r="N99" s="465"/>
      <c r="O99" s="465"/>
      <c r="P99" s="465"/>
      <c r="Q99" s="465"/>
      <c r="R99" s="465"/>
      <c r="S99" s="465"/>
      <c r="T99" s="465"/>
      <c r="U99" s="466"/>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BA99" s="105" t="str">
        <f t="shared" si="0"/>
        <v>SER (2013) Energieakkoord voor duurzame groei, SER, 2013 https://www.ser.nl/nl/thema/energie-en-duurzaamheid/energieakkoord</v>
      </c>
    </row>
    <row r="100" spans="1:53" ht="15" customHeight="1" x14ac:dyDescent="0.25">
      <c r="A100" s="258"/>
      <c r="B100" s="80">
        <v>9</v>
      </c>
      <c r="C100" s="464" t="s">
        <v>286</v>
      </c>
      <c r="D100" s="465"/>
      <c r="E100" s="465"/>
      <c r="F100" s="465"/>
      <c r="G100" s="465"/>
      <c r="H100" s="465"/>
      <c r="I100" s="465"/>
      <c r="J100" s="465"/>
      <c r="K100" s="465"/>
      <c r="L100" s="465"/>
      <c r="M100" s="465"/>
      <c r="N100" s="465"/>
      <c r="O100" s="465"/>
      <c r="P100" s="465"/>
      <c r="Q100" s="465"/>
      <c r="R100" s="465"/>
      <c r="S100" s="465"/>
      <c r="T100" s="465"/>
      <c r="U100" s="466"/>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BA100" s="105" t="str">
        <f t="shared" si="0"/>
        <v>RVO (2019), RVO, 2019, https://www.rijksoverheid.nl/documenten/rapporten/2020/06/26/bijlage-monitor-wind-op-land-2019</v>
      </c>
    </row>
    <row r="101" spans="1:53" ht="15" customHeight="1" x14ac:dyDescent="0.25">
      <c r="A101" s="258"/>
      <c r="B101" s="80">
        <v>10</v>
      </c>
      <c r="C101" s="464" t="s">
        <v>287</v>
      </c>
      <c r="D101" s="465"/>
      <c r="E101" s="465"/>
      <c r="F101" s="465"/>
      <c r="G101" s="465"/>
      <c r="H101" s="465"/>
      <c r="I101" s="465"/>
      <c r="J101" s="465"/>
      <c r="K101" s="465"/>
      <c r="L101" s="465"/>
      <c r="M101" s="465"/>
      <c r="N101" s="465"/>
      <c r="O101" s="465"/>
      <c r="P101" s="465"/>
      <c r="Q101" s="465"/>
      <c r="R101" s="465"/>
      <c r="S101" s="465"/>
      <c r="T101" s="465"/>
      <c r="U101" s="466"/>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BA101" s="105" t="str">
        <f t="shared" si="0"/>
        <v>PBL (2021a) Monitor concept-RES, PBL, 2021, https://www.pbl.nl/publicaties/monitor-concept-res</v>
      </c>
    </row>
    <row r="102" spans="1:53" ht="15" customHeight="1" x14ac:dyDescent="0.25">
      <c r="A102" s="258"/>
      <c r="B102" s="80">
        <v>11</v>
      </c>
      <c r="C102" s="464" t="s">
        <v>288</v>
      </c>
      <c r="D102" s="465"/>
      <c r="E102" s="465"/>
      <c r="F102" s="465"/>
      <c r="G102" s="465"/>
      <c r="H102" s="465"/>
      <c r="I102" s="465"/>
      <c r="J102" s="465"/>
      <c r="K102" s="465"/>
      <c r="L102" s="465"/>
      <c r="M102" s="465"/>
      <c r="N102" s="465"/>
      <c r="O102" s="465"/>
      <c r="P102" s="465"/>
      <c r="Q102" s="465"/>
      <c r="R102" s="465"/>
      <c r="S102" s="465"/>
      <c r="T102" s="465"/>
      <c r="U102" s="466"/>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BA102" s="105" t="str">
        <f t="shared" si="0"/>
        <v>RVO (2021), Windkaart windsnelheid per gemeente, RVO, februari 2021, https://www.rvo.nl/sites/default/files/2021/02/Windkaart%20windsnelheid%20per%20gemeente%20versie%20februari%202021.pdf</v>
      </c>
    </row>
    <row r="103" spans="1:53" ht="15" customHeight="1" x14ac:dyDescent="0.25">
      <c r="A103" s="258"/>
      <c r="B103" s="80">
        <v>12</v>
      </c>
      <c r="C103" s="464" t="s">
        <v>289</v>
      </c>
      <c r="D103" s="465"/>
      <c r="E103" s="465"/>
      <c r="F103" s="465"/>
      <c r="G103" s="465"/>
      <c r="H103" s="465"/>
      <c r="I103" s="465"/>
      <c r="J103" s="465"/>
      <c r="K103" s="465"/>
      <c r="L103" s="465"/>
      <c r="M103" s="465"/>
      <c r="N103" s="465"/>
      <c r="O103" s="465"/>
      <c r="P103" s="465"/>
      <c r="Q103" s="465"/>
      <c r="R103" s="465"/>
      <c r="S103" s="465"/>
      <c r="T103" s="465"/>
      <c r="U103" s="466"/>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BA103" s="105" t="str">
        <f t="shared" si="0"/>
        <v xml:space="preserve">WindEurope (2021) Getting fit for 55 and set for 2050, Electrifying Europe with wind energy, ETIP Wind, WindEurope, June 2021, https://etipwind.eu/publications/getting-fit-for-55 </v>
      </c>
    </row>
    <row r="104" spans="1:53" ht="15" customHeight="1" x14ac:dyDescent="0.25">
      <c r="A104" s="258"/>
      <c r="B104" s="80">
        <v>13</v>
      </c>
      <c r="C104" s="464" t="s">
        <v>290</v>
      </c>
      <c r="D104" s="465"/>
      <c r="E104" s="465"/>
      <c r="F104" s="465"/>
      <c r="G104" s="465"/>
      <c r="H104" s="465"/>
      <c r="I104" s="465"/>
      <c r="J104" s="465"/>
      <c r="K104" s="465"/>
      <c r="L104" s="465"/>
      <c r="M104" s="465"/>
      <c r="N104" s="465"/>
      <c r="O104" s="465"/>
      <c r="P104" s="465"/>
      <c r="Q104" s="465"/>
      <c r="R104" s="465"/>
      <c r="S104" s="465"/>
      <c r="T104" s="465"/>
      <c r="U104" s="466"/>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BA104" s="105"/>
    </row>
    <row r="105" spans="1:53" ht="15" customHeight="1" x14ac:dyDescent="0.25">
      <c r="A105" s="258"/>
      <c r="B105" s="80">
        <v>14</v>
      </c>
      <c r="C105" s="254" t="s">
        <v>291</v>
      </c>
      <c r="D105" s="238"/>
      <c r="E105" s="238"/>
      <c r="F105" s="238"/>
      <c r="G105" s="238"/>
      <c r="H105" s="238"/>
      <c r="I105" s="238"/>
      <c r="J105" s="238"/>
      <c r="K105" s="238"/>
      <c r="L105" s="238"/>
      <c r="M105" s="238"/>
      <c r="N105" s="238"/>
      <c r="O105" s="238"/>
      <c r="P105" s="238"/>
      <c r="Q105" s="238"/>
      <c r="R105" s="238"/>
      <c r="S105" s="238"/>
      <c r="T105" s="238"/>
      <c r="U105" s="23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BA105" s="105"/>
    </row>
    <row r="106" spans="1:53" ht="15" customHeight="1" x14ac:dyDescent="0.25">
      <c r="A106" s="258"/>
      <c r="B106" s="80">
        <v>15</v>
      </c>
      <c r="C106" s="254" t="s">
        <v>292</v>
      </c>
      <c r="D106" s="238"/>
      <c r="E106" s="238"/>
      <c r="F106" s="238"/>
      <c r="G106" s="238"/>
      <c r="H106" s="238"/>
      <c r="I106" s="238"/>
      <c r="J106" s="238"/>
      <c r="K106" s="238"/>
      <c r="L106" s="238"/>
      <c r="M106" s="238"/>
      <c r="N106" s="238"/>
      <c r="O106" s="238"/>
      <c r="P106" s="238"/>
      <c r="Q106" s="238"/>
      <c r="R106" s="238"/>
      <c r="S106" s="238"/>
      <c r="T106" s="238"/>
      <c r="U106" s="23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BA106" s="105"/>
    </row>
    <row r="107" spans="1:53" x14ac:dyDescent="0.25">
      <c r="A107" s="258"/>
      <c r="B107" s="80">
        <v>16</v>
      </c>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BA107" s="105" t="str">
        <f>C104</f>
        <v>PBL (2021b) Eindadvies basisbedragen SDE++ 2021, PBL, 2021, https://www.pbl.nl/publicaties/eindadvies-basisbedragen-sde-plus-plus-2021</v>
      </c>
    </row>
    <row r="108" spans="1:53" x14ac:dyDescent="0.25">
      <c r="A108" s="258"/>
      <c r="B108" s="467" t="s">
        <v>293</v>
      </c>
      <c r="C108" s="468" t="s">
        <v>294</v>
      </c>
      <c r="D108" s="468"/>
      <c r="E108" s="468"/>
      <c r="F108" s="468"/>
      <c r="G108" s="468"/>
      <c r="H108" s="468"/>
      <c r="I108" s="468"/>
      <c r="J108" s="468"/>
      <c r="K108" s="468"/>
      <c r="L108" s="468"/>
      <c r="M108" s="468"/>
      <c r="N108" s="468"/>
      <c r="O108" s="468"/>
      <c r="P108" s="468"/>
      <c r="Q108" s="468"/>
      <c r="R108" s="468"/>
      <c r="S108" s="468"/>
      <c r="T108" s="468"/>
      <c r="U108" s="468"/>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BA108" s="105" t="str">
        <f t="shared" si="0"/>
        <v>Add other sources here</v>
      </c>
    </row>
    <row r="109" spans="1:53" x14ac:dyDescent="0.25">
      <c r="A109" s="258"/>
      <c r="B109" s="467"/>
      <c r="C109" s="468"/>
      <c r="D109" s="468"/>
      <c r="E109" s="468"/>
      <c r="F109" s="468"/>
      <c r="G109" s="468"/>
      <c r="H109" s="468"/>
      <c r="I109" s="468"/>
      <c r="J109" s="468"/>
      <c r="K109" s="468"/>
      <c r="L109" s="468"/>
      <c r="M109" s="468"/>
      <c r="N109" s="468"/>
      <c r="O109" s="468"/>
      <c r="P109" s="468"/>
      <c r="Q109" s="468"/>
      <c r="R109" s="468"/>
      <c r="S109" s="468"/>
      <c r="T109" s="468"/>
      <c r="U109" s="468"/>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row>
    <row r="110" spans="1:53" x14ac:dyDescent="0.25">
      <c r="A110" s="258"/>
      <c r="B110" s="467"/>
      <c r="C110" s="468"/>
      <c r="D110" s="468"/>
      <c r="E110" s="468"/>
      <c r="F110" s="468"/>
      <c r="G110" s="468"/>
      <c r="H110" s="468"/>
      <c r="I110" s="468"/>
      <c r="J110" s="468"/>
      <c r="K110" s="468"/>
      <c r="L110" s="468"/>
      <c r="M110" s="468"/>
      <c r="N110" s="468"/>
      <c r="O110" s="468"/>
      <c r="P110" s="468"/>
      <c r="Q110" s="468"/>
      <c r="R110" s="468"/>
      <c r="S110" s="468"/>
      <c r="T110" s="468"/>
      <c r="U110" s="468"/>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row>
    <row r="112" spans="1:53"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row>
    <row r="113" spans="3:3" x14ac:dyDescent="0.25">
      <c r="C113" s="259"/>
    </row>
    <row r="114" spans="3:3" x14ac:dyDescent="0.25">
      <c r="C114" s="259"/>
    </row>
    <row r="115" spans="3:3" x14ac:dyDescent="0.25">
      <c r="C115" s="259"/>
    </row>
    <row r="116" spans="3:3" x14ac:dyDescent="0.25">
      <c r="C116" s="259"/>
    </row>
    <row r="120" spans="3:3" x14ac:dyDescent="0.25">
      <c r="C120" s="259" t="s">
        <v>253</v>
      </c>
    </row>
    <row r="121" spans="3:3" x14ac:dyDescent="0.25">
      <c r="C121" s="259" t="s">
        <v>289</v>
      </c>
    </row>
  </sheetData>
  <sortState xmlns:xlrd2="http://schemas.microsoft.com/office/spreadsheetml/2017/richdata2" ref="C93:U96">
    <sortCondition ref="C93"/>
  </sortState>
  <dataConsolidate/>
  <mergeCells count="153">
    <mergeCell ref="B108:B110"/>
    <mergeCell ref="D25:E26"/>
    <mergeCell ref="C95:U95"/>
    <mergeCell ref="C96:U96"/>
    <mergeCell ref="C97:U97"/>
    <mergeCell ref="C98:U98"/>
    <mergeCell ref="C92:U92"/>
    <mergeCell ref="C93:U93"/>
    <mergeCell ref="C94:U94"/>
    <mergeCell ref="D80:F81"/>
    <mergeCell ref="B79:U79"/>
    <mergeCell ref="B91:U91"/>
    <mergeCell ref="B67:U67"/>
    <mergeCell ref="D68:E69"/>
    <mergeCell ref="F68:F69"/>
    <mergeCell ref="B68:C77"/>
    <mergeCell ref="D78:U78"/>
    <mergeCell ref="D58:U58"/>
    <mergeCell ref="C108:U110"/>
    <mergeCell ref="C104:U104"/>
    <mergeCell ref="B84:C85"/>
    <mergeCell ref="B86:C87"/>
    <mergeCell ref="B88:C89"/>
    <mergeCell ref="D64:E65"/>
    <mergeCell ref="B18:C18"/>
    <mergeCell ref="D18:F18"/>
    <mergeCell ref="B16:C17"/>
    <mergeCell ref="B80:C81"/>
    <mergeCell ref="D16:K17"/>
    <mergeCell ref="C100:U100"/>
    <mergeCell ref="C101:U101"/>
    <mergeCell ref="C102:U102"/>
    <mergeCell ref="C103:U103"/>
    <mergeCell ref="B78:C78"/>
    <mergeCell ref="F70:F71"/>
    <mergeCell ref="D62:E63"/>
    <mergeCell ref="F62:F63"/>
    <mergeCell ref="E44:F45"/>
    <mergeCell ref="C99:U99"/>
    <mergeCell ref="B60:C65"/>
    <mergeCell ref="B66:C66"/>
    <mergeCell ref="B90:C90"/>
    <mergeCell ref="D90:U90"/>
    <mergeCell ref="D82:F83"/>
    <mergeCell ref="D84:F85"/>
    <mergeCell ref="D86:F87"/>
    <mergeCell ref="D88:F89"/>
    <mergeCell ref="B82:C83"/>
    <mergeCell ref="B4:K4"/>
    <mergeCell ref="B15:K15"/>
    <mergeCell ref="D5:K5"/>
    <mergeCell ref="D6:K6"/>
    <mergeCell ref="D8:K8"/>
    <mergeCell ref="D9:K9"/>
    <mergeCell ref="D10:K10"/>
    <mergeCell ref="D11:K11"/>
    <mergeCell ref="D12:K12"/>
    <mergeCell ref="D13:K13"/>
    <mergeCell ref="D14:K14"/>
    <mergeCell ref="B5:C5"/>
    <mergeCell ref="B13:C14"/>
    <mergeCell ref="B6:C6"/>
    <mergeCell ref="B12:C12"/>
    <mergeCell ref="B10:C10"/>
    <mergeCell ref="B11:C11"/>
    <mergeCell ref="B8:C9"/>
    <mergeCell ref="D7:K7"/>
    <mergeCell ref="B7:C7"/>
    <mergeCell ref="O8:Q10"/>
    <mergeCell ref="D19:F20"/>
    <mergeCell ref="D60:E61"/>
    <mergeCell ref="F60:F61"/>
    <mergeCell ref="B19:C20"/>
    <mergeCell ref="B38:C39"/>
    <mergeCell ref="B40:C41"/>
    <mergeCell ref="B42:C43"/>
    <mergeCell ref="B44:C45"/>
    <mergeCell ref="B35:U35"/>
    <mergeCell ref="D31:K31"/>
    <mergeCell ref="D28:K28"/>
    <mergeCell ref="G21:K21"/>
    <mergeCell ref="Q21:U21"/>
    <mergeCell ref="B22:C24"/>
    <mergeCell ref="D22:E24"/>
    <mergeCell ref="B21:C21"/>
    <mergeCell ref="D21:E21"/>
    <mergeCell ref="L21:P21"/>
    <mergeCell ref="B29:C29"/>
    <mergeCell ref="B30:C30"/>
    <mergeCell ref="D34:K34"/>
    <mergeCell ref="F48:F49"/>
    <mergeCell ref="D44:D45"/>
    <mergeCell ref="L48:P48"/>
    <mergeCell ref="F64:F65"/>
    <mergeCell ref="B48:C49"/>
    <mergeCell ref="D72:E73"/>
    <mergeCell ref="G68:K68"/>
    <mergeCell ref="L68:P68"/>
    <mergeCell ref="Q68:U68"/>
    <mergeCell ref="G80:K80"/>
    <mergeCell ref="L80:P80"/>
    <mergeCell ref="G48:K48"/>
    <mergeCell ref="Q80:U80"/>
    <mergeCell ref="L60:P60"/>
    <mergeCell ref="D76:E77"/>
    <mergeCell ref="F76:F77"/>
    <mergeCell ref="D74:E75"/>
    <mergeCell ref="F74:F75"/>
    <mergeCell ref="D56:E57"/>
    <mergeCell ref="F72:F73"/>
    <mergeCell ref="D70:E71"/>
    <mergeCell ref="D66:U66"/>
    <mergeCell ref="G60:K60"/>
    <mergeCell ref="B59:U59"/>
    <mergeCell ref="Q60:U60"/>
    <mergeCell ref="B58:C58"/>
    <mergeCell ref="F22:F24"/>
    <mergeCell ref="F25:F26"/>
    <mergeCell ref="B47:U47"/>
    <mergeCell ref="Q36:U36"/>
    <mergeCell ref="G36:K36"/>
    <mergeCell ref="L36:P36"/>
    <mergeCell ref="F52:F53"/>
    <mergeCell ref="D54:E55"/>
    <mergeCell ref="F54:F55"/>
    <mergeCell ref="D46:U46"/>
    <mergeCell ref="B36:F37"/>
    <mergeCell ref="D38:D39"/>
    <mergeCell ref="D29:K29"/>
    <mergeCell ref="D30:K30"/>
    <mergeCell ref="D33:K33"/>
    <mergeCell ref="B50:C57"/>
    <mergeCell ref="B34:C34"/>
    <mergeCell ref="E38:F39"/>
    <mergeCell ref="D48:E49"/>
    <mergeCell ref="Q48:U48"/>
    <mergeCell ref="D50:E51"/>
    <mergeCell ref="F50:F51"/>
    <mergeCell ref="D52:E53"/>
    <mergeCell ref="B46:C46"/>
    <mergeCell ref="B33:C33"/>
    <mergeCell ref="B31:C31"/>
    <mergeCell ref="B28:C28"/>
    <mergeCell ref="B25:C26"/>
    <mergeCell ref="D27:K27"/>
    <mergeCell ref="B27:C27"/>
    <mergeCell ref="B32:C32"/>
    <mergeCell ref="F56:F57"/>
    <mergeCell ref="D32:K32"/>
    <mergeCell ref="D40:D41"/>
    <mergeCell ref="E40:F41"/>
    <mergeCell ref="D42:D43"/>
    <mergeCell ref="E42:F43"/>
  </mergeCells>
  <conditionalFormatting sqref="D8">
    <cfRule type="containsText" dxfId="585" priority="267" operator="containsText" text="Please select">
      <formula>NOT(ISERROR(SEARCH("Please select",D8)))</formula>
    </cfRule>
  </conditionalFormatting>
  <conditionalFormatting sqref="D9 L9 N9">
    <cfRule type="containsText" dxfId="584" priority="266" operator="containsText" text="Other (specify here)">
      <formula>NOT(ISERROR(SEARCH("Other (specify here)",D9)))</formula>
    </cfRule>
  </conditionalFormatting>
  <conditionalFormatting sqref="D10">
    <cfRule type="containsText" dxfId="583" priority="265" operator="containsText" text="Please select">
      <formula>NOT(ISERROR(SEARCH("Please select",D10)))</formula>
    </cfRule>
  </conditionalFormatting>
  <conditionalFormatting sqref="L11:N11">
    <cfRule type="containsText" dxfId="582" priority="264" operator="containsText" text="Specify here">
      <formula>NOT(ISERROR(SEARCH("Specify here",L11)))</formula>
    </cfRule>
  </conditionalFormatting>
  <conditionalFormatting sqref="D12 L12:N12">
    <cfRule type="containsText" dxfId="581" priority="263" operator="containsText" text="Specify here">
      <formula>NOT(ISERROR(SEARCH("Specify here",D12)))</formula>
    </cfRule>
  </conditionalFormatting>
  <conditionalFormatting sqref="D6 L6:L7">
    <cfRule type="containsText" dxfId="580" priority="262" operator="containsText" text="DD-MM-YYYY">
      <formula>NOT(ISERROR(SEARCH("DD-MM-YYYY",D6)))</formula>
    </cfRule>
  </conditionalFormatting>
  <conditionalFormatting sqref="D13 L13:O13">
    <cfRule type="containsText" dxfId="579" priority="259" operator="containsText" text="Select the observed or expected TRL level in 2020">
      <formula>NOT(ISERROR(SEARCH("Select the observed or expected TRL level in 2020",D13)))</formula>
    </cfRule>
    <cfRule type="containsText" dxfId="578" priority="261" operator="containsText" text="Specify here the observed or expected TRL level in 2020">
      <formula>NOT(ISERROR(SEARCH("Specify here the observed or expected TRL level in 2020",D13)))</formula>
    </cfRule>
  </conditionalFormatting>
  <conditionalFormatting sqref="L14:O14">
    <cfRule type="containsText" dxfId="577" priority="260" operator="containsText" text="Explain here">
      <formula>NOT(ISERROR(SEARCH("Explain here",L14)))</formula>
    </cfRule>
  </conditionalFormatting>
  <conditionalFormatting sqref="D33 D31">
    <cfRule type="containsText" dxfId="576" priority="258" operator="containsText" text="Please select">
      <formula>NOT(ISERROR(SEARCH("Please select",D31)))</formula>
    </cfRule>
  </conditionalFormatting>
  <conditionalFormatting sqref="D31 L31:O31">
    <cfRule type="containsText" dxfId="575" priority="254" operator="containsText" text="Specify here">
      <formula>NOT(ISERROR(SEARCH("Specify here",D31)))</formula>
    </cfRule>
  </conditionalFormatting>
  <conditionalFormatting sqref="L29:O29">
    <cfRule type="containsText" dxfId="574" priority="253" operator="containsText" text="Specify here">
      <formula>NOT(ISERROR(SEARCH("Specify here",L29)))</formula>
    </cfRule>
  </conditionalFormatting>
  <conditionalFormatting sqref="L27:O27 L29:O29">
    <cfRule type="containsText" dxfId="573" priority="252" operator="containsText" text="Specify here">
      <formula>NOT(ISERROR(SEARCH("Specify here",L27)))</formula>
    </cfRule>
  </conditionalFormatting>
  <conditionalFormatting sqref="L32:O32">
    <cfRule type="containsText" dxfId="572" priority="251" operator="containsText" text="Specify here">
      <formula>NOT(ISERROR(SEARCH("Specify here",L32)))</formula>
    </cfRule>
  </conditionalFormatting>
  <conditionalFormatting sqref="D34">
    <cfRule type="containsText" dxfId="571" priority="250" operator="containsText" text="Explain here (e.g. other technical dimensions, region covered for potential such as NL or EU)">
      <formula>NOT(ISERROR(SEARCH("Explain here (e.g. other technical dimensions, region covered for potential such as NL or EU)",D34)))</formula>
    </cfRule>
  </conditionalFormatting>
  <conditionalFormatting sqref="L5">
    <cfRule type="containsText" dxfId="570" priority="247" operator="containsText" text="Specify technology option name here">
      <formula>NOT(ISERROR(SEARCH("Specify technology option name here",L5)))</formula>
    </cfRule>
  </conditionalFormatting>
  <conditionalFormatting sqref="D19">
    <cfRule type="containsText" dxfId="569" priority="245" operator="containsText" text="Select Functional Unit above">
      <formula>NOT(ISERROR(SEARCH("Select Functional Unit above",D19)))</formula>
    </cfRule>
  </conditionalFormatting>
  <conditionalFormatting sqref="D50">
    <cfRule type="containsText" dxfId="568" priority="216" operator="containsText" text="Select">
      <formula>NOT(ISERROR(SEARCH("Select",D50)))</formula>
    </cfRule>
  </conditionalFormatting>
  <conditionalFormatting sqref="D46">
    <cfRule type="containsText" dxfId="567" priority="226" operator="containsText" text="Explain here (e.g. other costs)">
      <formula>NOT(ISERROR(SEARCH("Explain here (e.g. other costs)",D46)))</formula>
    </cfRule>
  </conditionalFormatting>
  <conditionalFormatting sqref="D72">
    <cfRule type="containsText" dxfId="566" priority="198" operator="containsText" text="Select">
      <formula>NOT(ISERROR(SEARCH("Select",D72)))</formula>
    </cfRule>
  </conditionalFormatting>
  <conditionalFormatting sqref="D74">
    <cfRule type="containsText" dxfId="565" priority="197" operator="containsText" text="Select">
      <formula>NOT(ISERROR(SEARCH("Select",D74)))</formula>
    </cfRule>
  </conditionalFormatting>
  <conditionalFormatting sqref="D52">
    <cfRule type="containsText" dxfId="564" priority="215" operator="containsText" text="Select">
      <formula>NOT(ISERROR(SEARCH("Select",D52)))</formula>
    </cfRule>
  </conditionalFormatting>
  <conditionalFormatting sqref="D76">
    <cfRule type="containsText" dxfId="563" priority="196" operator="containsText" text="Select">
      <formula>NOT(ISERROR(SEARCH("Select",D76)))</formula>
    </cfRule>
  </conditionalFormatting>
  <conditionalFormatting sqref="D54">
    <cfRule type="containsText" dxfId="562" priority="214" operator="containsText" text="Select">
      <formula>NOT(ISERROR(SEARCH("Select",D54)))</formula>
    </cfRule>
  </conditionalFormatting>
  <conditionalFormatting sqref="D56">
    <cfRule type="containsText" dxfId="561" priority="213" operator="containsText" text="Select">
      <formula>NOT(ISERROR(SEARCH("Select",D56)))</formula>
    </cfRule>
  </conditionalFormatting>
  <conditionalFormatting sqref="F50:F57">
    <cfRule type="containsText" dxfId="560" priority="212" operator="containsText" text="Please select">
      <formula>NOT(ISERROR(SEARCH("Please select",F50)))</formula>
    </cfRule>
  </conditionalFormatting>
  <conditionalFormatting sqref="D58">
    <cfRule type="containsText" dxfId="559" priority="211" operator="containsText" text="Explain here (e.g. flexible in and out)">
      <formula>NOT(ISERROR(SEARCH("Explain here (e.g. flexible in and out)",D58)))</formula>
    </cfRule>
  </conditionalFormatting>
  <conditionalFormatting sqref="D62">
    <cfRule type="containsText" dxfId="558" priority="202" operator="containsText" text="Select">
      <formula>NOT(ISERROR(SEARCH("Select",D62)))</formula>
    </cfRule>
  </conditionalFormatting>
  <conditionalFormatting sqref="D66">
    <cfRule type="containsText" dxfId="557" priority="200" operator="containsText" text="Explain here">
      <formula>NOT(ISERROR(SEARCH("Explain here",D66)))</formula>
    </cfRule>
  </conditionalFormatting>
  <conditionalFormatting sqref="D70">
    <cfRule type="containsText" dxfId="556" priority="199" operator="containsText" text="Select">
      <formula>NOT(ISERROR(SEARCH("Select",D70)))</formula>
    </cfRule>
  </conditionalFormatting>
  <conditionalFormatting sqref="F70:F77">
    <cfRule type="containsText" dxfId="555" priority="195" operator="containsText" text="Please select">
      <formula>NOT(ISERROR(SEARCH("Please select",F70)))</formula>
    </cfRule>
  </conditionalFormatting>
  <conditionalFormatting sqref="D78">
    <cfRule type="containsText" dxfId="554" priority="194" operator="containsText" text="Explain here">
      <formula>NOT(ISERROR(SEARCH("Explain here",D78)))</formula>
    </cfRule>
  </conditionalFormatting>
  <conditionalFormatting sqref="D82">
    <cfRule type="containsText" dxfId="553" priority="187" operator="containsText" text="Specify here">
      <formula>NOT(ISERROR(SEARCH("Specify here",D82)))</formula>
    </cfRule>
  </conditionalFormatting>
  <conditionalFormatting sqref="B92 B94:B106">
    <cfRule type="containsText" dxfId="552" priority="186" operator="containsText" text="Specify data sources and references here">
      <formula>NOT(ISERROR(SEARCH("Specify data sources and references here",B92)))</formula>
    </cfRule>
  </conditionalFormatting>
  <conditionalFormatting sqref="D27">
    <cfRule type="containsText" dxfId="551" priority="182" operator="containsText" text="Specify here (if not specified, value will be 1)">
      <formula>NOT(ISERROR(SEARCH("Specify here (if not specified, value will be 1)",D27)))</formula>
    </cfRule>
  </conditionalFormatting>
  <conditionalFormatting sqref="D32">
    <cfRule type="containsText" dxfId="550" priority="181" operator="containsText" text="Please select">
      <formula>NOT(ISERROR(SEARCH("Please select",D32)))</formula>
    </cfRule>
  </conditionalFormatting>
  <conditionalFormatting sqref="D32">
    <cfRule type="containsText" dxfId="549" priority="180" operator="containsText" text="Specify here">
      <formula>NOT(ISERROR(SEARCH("Specify here",D32)))</formula>
    </cfRule>
  </conditionalFormatting>
  <conditionalFormatting sqref="H41:K41 J39:K39 H45:K45 H43:K43">
    <cfRule type="containsText" dxfId="548" priority="179" operator="containsText" text="Reference">
      <formula>NOT(ISERROR(SEARCH("Reference",H39)))</formula>
    </cfRule>
  </conditionalFormatting>
  <conditionalFormatting sqref="L41:P41 M45:P45 L39:P39 M43:P43">
    <cfRule type="containsText" dxfId="547" priority="178" operator="containsText" text="Reference">
      <formula>NOT(ISERROR(SEARCH("Reference",L39)))</formula>
    </cfRule>
  </conditionalFormatting>
  <conditionalFormatting sqref="Q41:U41 R45:U45 Q39:U39 R43:U43">
    <cfRule type="containsText" dxfId="546" priority="177" operator="containsText" text="Reference">
      <formula>NOT(ISERROR(SEARCH("Reference",Q39)))</formula>
    </cfRule>
  </conditionalFormatting>
  <conditionalFormatting sqref="E38">
    <cfRule type="containsText" dxfId="545" priority="176" operator="containsText" text="Please select 'Functional Unit' above">
      <formula>NOT(ISERROR(SEARCH("Please select 'Functional Unit' above",E38)))</formula>
    </cfRule>
  </conditionalFormatting>
  <conditionalFormatting sqref="H53:K53 H55:K55 H57:K57 H51:K51">
    <cfRule type="containsText" dxfId="544" priority="172" operator="containsText" text="Reference">
      <formula>NOT(ISERROR(SEARCH("Reference",H51)))</formula>
    </cfRule>
  </conditionalFormatting>
  <conditionalFormatting sqref="M53:P53 M55:P55 M57:P57 M51:P51">
    <cfRule type="containsText" dxfId="543" priority="171" operator="containsText" text="Reference">
      <formula>NOT(ISERROR(SEARCH("Reference",M51)))</formula>
    </cfRule>
  </conditionalFormatting>
  <conditionalFormatting sqref="R53:U53 R55:U55 R57:U57 R51:U51">
    <cfRule type="containsText" dxfId="542" priority="170" operator="containsText" text="Reference">
      <formula>NOT(ISERROR(SEARCH("Reference",R51)))</formula>
    </cfRule>
  </conditionalFormatting>
  <conditionalFormatting sqref="H73:K73 H75:K75 H77:K77 H71:K71">
    <cfRule type="containsText" dxfId="541" priority="166" operator="containsText" text="Reference">
      <formula>NOT(ISERROR(SEARCH("Reference",H71)))</formula>
    </cfRule>
  </conditionalFormatting>
  <conditionalFormatting sqref="M73:P73 M75:P75 M77:P77 M71:P71">
    <cfRule type="containsText" dxfId="540" priority="165" operator="containsText" text="Reference">
      <formula>NOT(ISERROR(SEARCH("Reference",M71)))</formula>
    </cfRule>
  </conditionalFormatting>
  <conditionalFormatting sqref="R73:U73 R75:U75 R77:U77 R71:U71">
    <cfRule type="containsText" dxfId="539" priority="164" operator="containsText" text="Reference">
      <formula>NOT(ISERROR(SEARCH("Reference",R71)))</formula>
    </cfRule>
  </conditionalFormatting>
  <conditionalFormatting sqref="G65:K65 H63:K63">
    <cfRule type="containsText" dxfId="538" priority="163" operator="containsText" text="Reference">
      <formula>NOT(ISERROR(SEARCH("Reference",G63)))</formula>
    </cfRule>
  </conditionalFormatting>
  <conditionalFormatting sqref="L65:P65 M63:P63">
    <cfRule type="containsText" dxfId="537" priority="162" operator="containsText" text="Reference">
      <formula>NOT(ISERROR(SEARCH("Reference",L63)))</formula>
    </cfRule>
  </conditionalFormatting>
  <conditionalFormatting sqref="Q65:U65 R63:U63">
    <cfRule type="containsText" dxfId="536" priority="161" operator="containsText" text="Reference">
      <formula>NOT(ISERROR(SEARCH("Reference",Q63)))</formula>
    </cfRule>
  </conditionalFormatting>
  <conditionalFormatting sqref="H83:K83">
    <cfRule type="containsText" dxfId="535" priority="160" operator="containsText" text="Reference">
      <formula>NOT(ISERROR(SEARCH("Reference",H83)))</formula>
    </cfRule>
  </conditionalFormatting>
  <conditionalFormatting sqref="M83:P83">
    <cfRule type="containsText" dxfId="534" priority="159" operator="containsText" text="Reference">
      <formula>NOT(ISERROR(SEARCH("Reference",M83)))</formula>
    </cfRule>
  </conditionalFormatting>
  <conditionalFormatting sqref="R83:U83">
    <cfRule type="containsText" dxfId="533" priority="158" operator="containsText" text="Reference">
      <formula>NOT(ISERROR(SEARCH("Reference",R83)))</formula>
    </cfRule>
  </conditionalFormatting>
  <conditionalFormatting sqref="D5">
    <cfRule type="containsText" dxfId="532" priority="157" operator="containsText" text="Please select">
      <formula>NOT(ISERROR(SEARCH("Please select",D5)))</formula>
    </cfRule>
  </conditionalFormatting>
  <conditionalFormatting sqref="D5">
    <cfRule type="containsText" dxfId="531" priority="156" operator="containsText" text="Specify here">
      <formula>NOT(ISERROR(SEARCH("Specify here",D5)))</formula>
    </cfRule>
  </conditionalFormatting>
  <conditionalFormatting sqref="D11">
    <cfRule type="containsText" dxfId="530" priority="155" operator="containsText" text="Please select">
      <formula>NOT(ISERROR(SEARCH("Please select",D11)))</formula>
    </cfRule>
  </conditionalFormatting>
  <conditionalFormatting sqref="D16">
    <cfRule type="containsText" dxfId="529" priority="153" operator="containsText" text="Please select">
      <formula>NOT(ISERROR(SEARCH("Please select",D16)))</formula>
    </cfRule>
    <cfRule type="containsText" dxfId="528" priority="154" operator="containsText" text="Please select 'Functional Unit' above">
      <formula>NOT(ISERROR(SEARCH("Please select 'Functional Unit' above",D16)))</formula>
    </cfRule>
  </conditionalFormatting>
  <conditionalFormatting sqref="D29">
    <cfRule type="containsText" dxfId="527" priority="151" operator="containsText" text="Please select">
      <formula>NOT(ISERROR(SEARCH("Please select",D29)))</formula>
    </cfRule>
  </conditionalFormatting>
  <conditionalFormatting sqref="E44">
    <cfRule type="containsText" dxfId="526" priority="147" operator="containsText" text="Please select 'Functional Unit' above">
      <formula>NOT(ISERROR(SEARCH("Please select 'Functional Unit' above",E44)))</formula>
    </cfRule>
  </conditionalFormatting>
  <conditionalFormatting sqref="G53 G55 G57 G51">
    <cfRule type="containsText" dxfId="525" priority="146" operator="containsText" text="Reference">
      <formula>NOT(ISERROR(SEARCH("Reference",G51)))</formula>
    </cfRule>
  </conditionalFormatting>
  <conditionalFormatting sqref="L53 L55 L57">
    <cfRule type="containsText" dxfId="524" priority="145" operator="containsText" text="Reference">
      <formula>NOT(ISERROR(SEARCH("Reference",L53)))</formula>
    </cfRule>
  </conditionalFormatting>
  <conditionalFormatting sqref="Q53 Q55 Q57">
    <cfRule type="containsText" dxfId="523" priority="144" operator="containsText" text="Reference">
      <formula>NOT(ISERROR(SEARCH("Reference",Q53)))</formula>
    </cfRule>
  </conditionalFormatting>
  <conditionalFormatting sqref="D64">
    <cfRule type="containsText" dxfId="522" priority="143" operator="containsText" text="Select">
      <formula>NOT(ISERROR(SEARCH("Select",D64)))</formula>
    </cfRule>
  </conditionalFormatting>
  <conditionalFormatting sqref="D62:F65">
    <cfRule type="containsText" dxfId="521" priority="142" operator="containsText" text="Specify here">
      <formula>NOT(ISERROR(SEARCH("Specify here",D62)))</formula>
    </cfRule>
  </conditionalFormatting>
  <conditionalFormatting sqref="G63">
    <cfRule type="containsText" dxfId="520" priority="141" operator="containsText" text="Reference">
      <formula>NOT(ISERROR(SEARCH("Reference",G63)))</formula>
    </cfRule>
  </conditionalFormatting>
  <conditionalFormatting sqref="L63">
    <cfRule type="containsText" dxfId="519" priority="140" operator="containsText" text="Reference">
      <formula>NOT(ISERROR(SEARCH("Reference",L63)))</formula>
    </cfRule>
  </conditionalFormatting>
  <conditionalFormatting sqref="Q63">
    <cfRule type="containsText" dxfId="518" priority="139" operator="containsText" text="Reference">
      <formula>NOT(ISERROR(SEARCH("Reference",Q63)))</formula>
    </cfRule>
  </conditionalFormatting>
  <conditionalFormatting sqref="G73 G75 G77 G71">
    <cfRule type="containsText" dxfId="517" priority="138" operator="containsText" text="Reference">
      <formula>NOT(ISERROR(SEARCH("Reference",G71)))</formula>
    </cfRule>
  </conditionalFormatting>
  <conditionalFormatting sqref="L73 L75 L77 L71">
    <cfRule type="containsText" dxfId="516" priority="137" operator="containsText" text="Reference">
      <formula>NOT(ISERROR(SEARCH("Reference",L71)))</formula>
    </cfRule>
  </conditionalFormatting>
  <conditionalFormatting sqref="Q73 Q75 Q77 Q71">
    <cfRule type="containsText" dxfId="515" priority="136" operator="containsText" text="Reference">
      <formula>NOT(ISERROR(SEARCH("Reference",Q71)))</formula>
    </cfRule>
  </conditionalFormatting>
  <conditionalFormatting sqref="B93">
    <cfRule type="containsText" dxfId="514" priority="134" operator="containsText" text="Specify data sources and references here">
      <formula>NOT(ISERROR(SEARCH("Specify data sources and references here",B93)))</formula>
    </cfRule>
  </conditionalFormatting>
  <conditionalFormatting sqref="C108:U110">
    <cfRule type="containsText" dxfId="513" priority="132" operator="containsText" text="Add other sources here">
      <formula>NOT(ISERROR(SEARCH("Add other sources here",C108)))</formula>
    </cfRule>
  </conditionalFormatting>
  <conditionalFormatting sqref="D22">
    <cfRule type="containsText" dxfId="512" priority="129" operator="containsText" text="Please select the region">
      <formula>NOT(ISERROR(SEARCH("Please select the region",D22)))</formula>
    </cfRule>
  </conditionalFormatting>
  <conditionalFormatting sqref="D25">
    <cfRule type="containsText" dxfId="511" priority="128" operator="containsText" text="Specify here the market">
      <formula>NOT(ISERROR(SEARCH("Specify here the market",D25)))</formula>
    </cfRule>
  </conditionalFormatting>
  <conditionalFormatting sqref="G20:K20">
    <cfRule type="containsText" dxfId="510" priority="127" operator="containsText" text="Reference">
      <formula>NOT(ISERROR(SEARCH("Reference",G20)))</formula>
    </cfRule>
  </conditionalFormatting>
  <conditionalFormatting sqref="G24:K24">
    <cfRule type="containsText" dxfId="509" priority="126" operator="containsText" text="Reference">
      <formula>NOT(ISERROR(SEARCH("Reference",G24)))</formula>
    </cfRule>
  </conditionalFormatting>
  <conditionalFormatting sqref="G26:K26">
    <cfRule type="containsText" dxfId="508" priority="125" operator="containsText" text="Reference">
      <formula>NOT(ISERROR(SEARCH("Reference",G26)))</formula>
    </cfRule>
  </conditionalFormatting>
  <conditionalFormatting sqref="H41:U41 G51:K51 G53:U53 G55:U55 G57:U57 G63:U63 G65:U65 G71:U71 G73:U73 G75:U75 G77:U77 H83:K83 M83:P83 R83:U83 M51:P51 R51:U51 M45:P45 R45:U45 J39:U39 H45:K45 H43:K43 M43:P43 R43:U43">
    <cfRule type="containsText" dxfId="507" priority="124" operator="containsText" text="Reference">
      <formula>NOT(ISERROR(SEARCH("Reference",G39)))</formula>
    </cfRule>
  </conditionalFormatting>
  <conditionalFormatting sqref="L26:P26 L24 N24:P24">
    <cfRule type="containsText" dxfId="506" priority="123" operator="containsText" text="Reference">
      <formula>NOT(ISERROR(SEARCH("Reference",L24)))</formula>
    </cfRule>
  </conditionalFormatting>
  <conditionalFormatting sqref="Q26:U26 Q24 U24">
    <cfRule type="containsText" dxfId="505" priority="122" operator="containsText" text="Reference">
      <formula>NOT(ISERROR(SEARCH("Reference",Q24)))</formula>
    </cfRule>
  </conditionalFormatting>
  <conditionalFormatting sqref="L24 L26:U26 U24 N24:Q24">
    <cfRule type="containsText" dxfId="504" priority="121" operator="containsText" text="Reference">
      <formula>NOT(ISERROR(SEARCH("Reference",L24)))</formula>
    </cfRule>
  </conditionalFormatting>
  <conditionalFormatting sqref="D30">
    <cfRule type="containsText" dxfId="503" priority="118" operator="containsText" text="Please select">
      <formula>NOT(ISERROR(SEARCH("Please select",D30)))</formula>
    </cfRule>
  </conditionalFormatting>
  <conditionalFormatting sqref="D30">
    <cfRule type="containsText" dxfId="502" priority="117" operator="containsText" text="Specify here">
      <formula>NOT(ISERROR(SEARCH("Specify here",D30)))</formula>
    </cfRule>
  </conditionalFormatting>
  <conditionalFormatting sqref="H85:K85 M85:P85 R85:U85">
    <cfRule type="containsText" dxfId="501" priority="112" operator="containsText" text="Reference">
      <formula>NOT(ISERROR(SEARCH("Reference",H85)))</formula>
    </cfRule>
  </conditionalFormatting>
  <conditionalFormatting sqref="H87:K87 M87:P87 R87:U87">
    <cfRule type="containsText" dxfId="500" priority="107" operator="containsText" text="Reference">
      <formula>NOT(ISERROR(SEARCH("Reference",H87)))</formula>
    </cfRule>
  </conditionalFormatting>
  <conditionalFormatting sqref="H89:K89 M89:P89 R89:U89">
    <cfRule type="containsText" dxfId="499" priority="102" operator="containsText" text="Reference">
      <formula>NOT(ISERROR(SEARCH("Reference",H89)))</formula>
    </cfRule>
  </conditionalFormatting>
  <conditionalFormatting sqref="H85:K85">
    <cfRule type="containsText" dxfId="498" priority="115" operator="containsText" text="Reference">
      <formula>NOT(ISERROR(SEARCH("Reference",H85)))</formula>
    </cfRule>
  </conditionalFormatting>
  <conditionalFormatting sqref="M85:P85">
    <cfRule type="containsText" dxfId="497" priority="114" operator="containsText" text="Reference">
      <formula>NOT(ISERROR(SEARCH("Reference",M85)))</formula>
    </cfRule>
  </conditionalFormatting>
  <conditionalFormatting sqref="R85:U85">
    <cfRule type="containsText" dxfId="496" priority="113" operator="containsText" text="Reference">
      <formula>NOT(ISERROR(SEARCH("Reference",R85)))</formula>
    </cfRule>
  </conditionalFormatting>
  <conditionalFormatting sqref="H87:K87">
    <cfRule type="containsText" dxfId="495" priority="110" operator="containsText" text="Reference">
      <formula>NOT(ISERROR(SEARCH("Reference",H87)))</formula>
    </cfRule>
  </conditionalFormatting>
  <conditionalFormatting sqref="M87:P87">
    <cfRule type="containsText" dxfId="494" priority="109" operator="containsText" text="Reference">
      <formula>NOT(ISERROR(SEARCH("Reference",M87)))</formula>
    </cfRule>
  </conditionalFormatting>
  <conditionalFormatting sqref="R87:U87">
    <cfRule type="containsText" dxfId="493" priority="108" operator="containsText" text="Reference">
      <formula>NOT(ISERROR(SEARCH("Reference",R87)))</formula>
    </cfRule>
  </conditionalFormatting>
  <conditionalFormatting sqref="H89:K89">
    <cfRule type="containsText" dxfId="492" priority="105" operator="containsText" text="Reference">
      <formula>NOT(ISERROR(SEARCH("Reference",H89)))</formula>
    </cfRule>
  </conditionalFormatting>
  <conditionalFormatting sqref="M89:P89">
    <cfRule type="containsText" dxfId="491" priority="104" operator="containsText" text="Reference">
      <formula>NOT(ISERROR(SEARCH("Reference",M89)))</formula>
    </cfRule>
  </conditionalFormatting>
  <conditionalFormatting sqref="R89:U89">
    <cfRule type="containsText" dxfId="490" priority="103" operator="containsText" text="Reference">
      <formula>NOT(ISERROR(SEARCH("Reference",R89)))</formula>
    </cfRule>
  </conditionalFormatting>
  <conditionalFormatting sqref="B82">
    <cfRule type="containsText" dxfId="489" priority="97" operator="containsText" text="Add here">
      <formula>NOT(ISERROR(SEARCH("Add here",B82)))</formula>
    </cfRule>
  </conditionalFormatting>
  <conditionalFormatting sqref="B84">
    <cfRule type="containsText" dxfId="488" priority="96" operator="containsText" text="Add here">
      <formula>NOT(ISERROR(SEARCH("Add here",B84)))</formula>
    </cfRule>
  </conditionalFormatting>
  <conditionalFormatting sqref="B86">
    <cfRule type="containsText" dxfId="487" priority="95" operator="containsText" text="Add here">
      <formula>NOT(ISERROR(SEARCH("Add here",B86)))</formula>
    </cfRule>
  </conditionalFormatting>
  <conditionalFormatting sqref="B88">
    <cfRule type="containsText" dxfId="486" priority="94" operator="containsText" text="Add here">
      <formula>NOT(ISERROR(SEARCH("Add here",B88)))</formula>
    </cfRule>
  </conditionalFormatting>
  <conditionalFormatting sqref="G85 G87 G89 G83">
    <cfRule type="containsText" dxfId="485" priority="90" operator="containsText" text="Reference">
      <formula>NOT(ISERROR(SEARCH("Reference",G83)))</formula>
    </cfRule>
  </conditionalFormatting>
  <conditionalFormatting sqref="G83 G85 G87 G89">
    <cfRule type="containsText" dxfId="484" priority="89" operator="containsText" text="Reference">
      <formula>NOT(ISERROR(SEARCH("Reference",G83)))</formula>
    </cfRule>
  </conditionalFormatting>
  <conditionalFormatting sqref="L85 L87 L89 L83">
    <cfRule type="containsText" dxfId="483" priority="88" operator="containsText" text="Reference">
      <formula>NOT(ISERROR(SEARCH("Reference",L83)))</formula>
    </cfRule>
  </conditionalFormatting>
  <conditionalFormatting sqref="L83 L85 L87 L89">
    <cfRule type="containsText" dxfId="482" priority="87" operator="containsText" text="Reference">
      <formula>NOT(ISERROR(SEARCH("Reference",L83)))</formula>
    </cfRule>
  </conditionalFormatting>
  <conditionalFormatting sqref="Q85 Q87 Q89 Q83">
    <cfRule type="containsText" dxfId="481" priority="86" operator="containsText" text="Reference">
      <formula>NOT(ISERROR(SEARCH("Reference",Q83)))</formula>
    </cfRule>
  </conditionalFormatting>
  <conditionalFormatting sqref="Q83 Q85 Q87 Q89">
    <cfRule type="containsText" dxfId="480" priority="85" operator="containsText" text="Reference">
      <formula>NOT(ISERROR(SEARCH("Reference",Q83)))</formula>
    </cfRule>
  </conditionalFormatting>
  <conditionalFormatting sqref="D90">
    <cfRule type="containsText" dxfId="479" priority="84" operator="containsText" text="Explain here">
      <formula>NOT(ISERROR(SEARCH("Explain here",D90)))</formula>
    </cfRule>
  </conditionalFormatting>
  <conditionalFormatting sqref="D84">
    <cfRule type="containsText" dxfId="478" priority="83" operator="containsText" text="Specify here">
      <formula>NOT(ISERROR(SEARCH("Specify here",D84)))</formula>
    </cfRule>
  </conditionalFormatting>
  <conditionalFormatting sqref="D86">
    <cfRule type="containsText" dxfId="477" priority="82" operator="containsText" text="Specify here">
      <formula>NOT(ISERROR(SEARCH("Specify here",D86)))</formula>
    </cfRule>
  </conditionalFormatting>
  <conditionalFormatting sqref="D88">
    <cfRule type="containsText" dxfId="476" priority="81" operator="containsText" text="Specify here">
      <formula>NOT(ISERROR(SEARCH("Specify here",D88)))</formula>
    </cfRule>
  </conditionalFormatting>
  <conditionalFormatting sqref="F22">
    <cfRule type="containsText" dxfId="475" priority="79" operator="containsText" text="Please select">
      <formula>NOT(ISERROR(SEARCH("Please select",F22)))</formula>
    </cfRule>
  </conditionalFormatting>
  <conditionalFormatting sqref="F25">
    <cfRule type="containsText" dxfId="474" priority="78" operator="containsText" text="Select Functional Unit above">
      <formula>NOT(ISERROR(SEARCH("Select Functional Unit above",F25)))</formula>
    </cfRule>
  </conditionalFormatting>
  <conditionalFormatting sqref="E44:F45">
    <cfRule type="cellIs" dxfId="473" priority="77" operator="equal">
      <formula>"Please select based on chosen Functional Unit"</formula>
    </cfRule>
  </conditionalFormatting>
  <conditionalFormatting sqref="D7">
    <cfRule type="containsText" dxfId="472" priority="76" operator="containsText" text="Please select">
      <formula>NOT(ISERROR(SEARCH("Please select",D7)))</formula>
    </cfRule>
  </conditionalFormatting>
  <conditionalFormatting sqref="D7">
    <cfRule type="containsText" dxfId="471" priority="75" operator="containsText" text="Specify here">
      <formula>NOT(ISERROR(SEARCH("Specify here",D7)))</formula>
    </cfRule>
  </conditionalFormatting>
  <conditionalFormatting sqref="R24:T24">
    <cfRule type="containsText" dxfId="470" priority="73" operator="containsText" text="Reference">
      <formula>NOT(ISERROR(SEARCH("Reference",R24)))</formula>
    </cfRule>
  </conditionalFormatting>
  <conditionalFormatting sqref="G41">
    <cfRule type="containsText" dxfId="469" priority="72" operator="containsText" text="Reference">
      <formula>NOT(ISERROR(SEARCH("Reference",G41)))</formula>
    </cfRule>
  </conditionalFormatting>
  <conditionalFormatting sqref="G41">
    <cfRule type="containsText" dxfId="468" priority="71" operator="containsText" text="Reference">
      <formula>NOT(ISERROR(SEARCH("Reference",G41)))</formula>
    </cfRule>
  </conditionalFormatting>
  <conditionalFormatting sqref="C92:U92">
    <cfRule type="containsText" dxfId="467" priority="70" operator="containsText" text="Specify complete references and data sources used here">
      <formula>NOT(ISERROR(SEARCH("Specify complete references and data sources used here",C92)))</formula>
    </cfRule>
  </conditionalFormatting>
  <conditionalFormatting sqref="L51">
    <cfRule type="containsText" dxfId="466" priority="69" operator="containsText" text="Reference">
      <formula>NOT(ISERROR(SEARCH("Reference",L51)))</formula>
    </cfRule>
  </conditionalFormatting>
  <conditionalFormatting sqref="L51">
    <cfRule type="containsText" dxfId="465" priority="68" operator="containsText" text="Reference">
      <formula>NOT(ISERROR(SEARCH("Reference",L51)))</formula>
    </cfRule>
  </conditionalFormatting>
  <conditionalFormatting sqref="Q51">
    <cfRule type="containsText" dxfId="464" priority="67" operator="containsText" text="Reference">
      <formula>NOT(ISERROR(SEARCH("Reference",Q51)))</formula>
    </cfRule>
  </conditionalFormatting>
  <conditionalFormatting sqref="Q51">
    <cfRule type="containsText" dxfId="463" priority="66" operator="containsText" text="Reference">
      <formula>NOT(ISERROR(SEARCH("Reference",Q51)))</formula>
    </cfRule>
  </conditionalFormatting>
  <conditionalFormatting sqref="Q39:S39">
    <cfRule type="containsText" dxfId="462" priority="65" operator="containsText" text="Reference">
      <formula>NOT(ISERROR(SEARCH("Reference",Q39)))</formula>
    </cfRule>
  </conditionalFormatting>
  <conditionalFormatting sqref="G43">
    <cfRule type="containsText" dxfId="461" priority="39" operator="containsText" text="Reference">
      <formula>NOT(ISERROR(SEARCH("Reference",G43)))</formula>
    </cfRule>
  </conditionalFormatting>
  <conditionalFormatting sqref="L39:N39">
    <cfRule type="containsText" dxfId="460" priority="46" operator="containsText" text="Reference">
      <formula>NOT(ISERROR(SEARCH("Reference",L39)))</formula>
    </cfRule>
  </conditionalFormatting>
  <conditionalFormatting sqref="L27">
    <cfRule type="containsText" dxfId="459" priority="55" operator="containsText" text="Specify here">
      <formula>NOT(ISERROR(SEARCH("Specify here",L27)))</formula>
    </cfRule>
  </conditionalFormatting>
  <conditionalFormatting sqref="M24">
    <cfRule type="containsText" dxfId="458" priority="54" operator="containsText" text="Reference">
      <formula>NOT(ISERROR(SEARCH("Reference",M24)))</formula>
    </cfRule>
  </conditionalFormatting>
  <conditionalFormatting sqref="M24">
    <cfRule type="containsText" dxfId="457" priority="53" operator="containsText" text="Reference">
      <formula>NOT(ISERROR(SEARCH("Reference",M24)))</formula>
    </cfRule>
  </conditionalFormatting>
  <conditionalFormatting sqref="D14">
    <cfRule type="containsText" dxfId="456" priority="52" operator="containsText" text="Explain here">
      <formula>NOT(ISERROR(SEARCH("Explain here",D14)))</formula>
    </cfRule>
  </conditionalFormatting>
  <conditionalFormatting sqref="D28">
    <cfRule type="containsText" dxfId="455" priority="51" operator="containsText" text="Please select">
      <formula>NOT(ISERROR(SEARCH("Please select",D28)))</formula>
    </cfRule>
  </conditionalFormatting>
  <conditionalFormatting sqref="D28">
    <cfRule type="containsText" dxfId="454" priority="50" operator="containsText" text="Specify here">
      <formula>NOT(ISERROR(SEARCH("Specify here",D28)))</formula>
    </cfRule>
  </conditionalFormatting>
  <conditionalFormatting sqref="L28:O28">
    <cfRule type="containsText" dxfId="453" priority="49" operator="containsText" text="Specify here">
      <formula>NOT(ISERROR(SEARCH("Specify here",L28)))</formula>
    </cfRule>
  </conditionalFormatting>
  <conditionalFormatting sqref="L28:O28">
    <cfRule type="containsText" dxfId="452" priority="48" operator="containsText" text="Specify here">
      <formula>NOT(ISERROR(SEARCH("Specify here",L28)))</formula>
    </cfRule>
  </conditionalFormatting>
  <conditionalFormatting sqref="L34:O34">
    <cfRule type="containsText" dxfId="451" priority="47" operator="containsText" text="Specify here">
      <formula>NOT(ISERROR(SEARCH("Specify here",L34)))</formula>
    </cfRule>
  </conditionalFormatting>
  <conditionalFormatting sqref="L39:N39">
    <cfRule type="containsText" dxfId="450" priority="45" operator="containsText" text="Reference">
      <formula>NOT(ISERROR(SEARCH("Reference",L39)))</formula>
    </cfRule>
  </conditionalFormatting>
  <conditionalFormatting sqref="G39:I39">
    <cfRule type="containsText" dxfId="449" priority="44" operator="containsText" text="Reference">
      <formula>NOT(ISERROR(SEARCH("Reference",G39)))</formula>
    </cfRule>
  </conditionalFormatting>
  <conditionalFormatting sqref="G39:I39">
    <cfRule type="containsText" dxfId="448" priority="43" operator="containsText" text="Reference">
      <formula>NOT(ISERROR(SEARCH("Reference",G39)))</formula>
    </cfRule>
  </conditionalFormatting>
  <conditionalFormatting sqref="G39:I39">
    <cfRule type="containsText" dxfId="447" priority="42" operator="containsText" text="Reference">
      <formula>NOT(ISERROR(SEARCH("Reference",G39)))</formula>
    </cfRule>
  </conditionalFormatting>
  <conditionalFormatting sqref="G43">
    <cfRule type="containsText" dxfId="446" priority="41" operator="containsText" text="Reference">
      <formula>NOT(ISERROR(SEARCH("Reference",G43)))</formula>
    </cfRule>
  </conditionalFormatting>
  <conditionalFormatting sqref="G43">
    <cfRule type="containsText" dxfId="445" priority="40" operator="containsText" text="Reference">
      <formula>NOT(ISERROR(SEARCH("Reference",G43)))</formula>
    </cfRule>
  </conditionalFormatting>
  <conditionalFormatting sqref="G45">
    <cfRule type="containsText" dxfId="444" priority="38" operator="containsText" text="Reference">
      <formula>NOT(ISERROR(SEARCH("Reference",G45)))</formula>
    </cfRule>
  </conditionalFormatting>
  <conditionalFormatting sqref="G45">
    <cfRule type="containsText" dxfId="443" priority="37" operator="containsText" text="Reference">
      <formula>NOT(ISERROR(SEARCH("Reference",G45)))</formula>
    </cfRule>
  </conditionalFormatting>
  <conditionalFormatting sqref="G45">
    <cfRule type="containsText" dxfId="442" priority="36" operator="containsText" text="Reference">
      <formula>NOT(ISERROR(SEARCH("Reference",G45)))</formula>
    </cfRule>
  </conditionalFormatting>
  <conditionalFormatting sqref="M43:N43">
    <cfRule type="containsText" dxfId="441" priority="35" operator="containsText" text="Reference">
      <formula>NOT(ISERROR(SEARCH("Reference",M43)))</formula>
    </cfRule>
  </conditionalFormatting>
  <conditionalFormatting sqref="L43">
    <cfRule type="containsText" dxfId="440" priority="34" operator="containsText" text="Reference">
      <formula>NOT(ISERROR(SEARCH("Reference",L43)))</formula>
    </cfRule>
  </conditionalFormatting>
  <conditionalFormatting sqref="L43">
    <cfRule type="containsText" dxfId="439" priority="33" operator="containsText" text="Reference">
      <formula>NOT(ISERROR(SEARCH("Reference",L43)))</formula>
    </cfRule>
  </conditionalFormatting>
  <conditionalFormatting sqref="L43">
    <cfRule type="containsText" dxfId="438" priority="32" operator="containsText" text="Reference">
      <formula>NOT(ISERROR(SEARCH("Reference",L43)))</formula>
    </cfRule>
  </conditionalFormatting>
  <conditionalFormatting sqref="L43">
    <cfRule type="containsText" dxfId="437" priority="31" operator="containsText" text="Reference">
      <formula>NOT(ISERROR(SEARCH("Reference",L43)))</formula>
    </cfRule>
  </conditionalFormatting>
  <conditionalFormatting sqref="M43:N43">
    <cfRule type="containsText" dxfId="436" priority="30" operator="containsText" text="Reference">
      <formula>NOT(ISERROR(SEARCH("Reference",M43)))</formula>
    </cfRule>
  </conditionalFormatting>
  <conditionalFormatting sqref="M43:N43">
    <cfRule type="containsText" dxfId="435" priority="29" operator="containsText" text="Reference">
      <formula>NOT(ISERROR(SEARCH("Reference",M43)))</formula>
    </cfRule>
  </conditionalFormatting>
  <conditionalFormatting sqref="R43:S43">
    <cfRule type="containsText" dxfId="434" priority="28" operator="containsText" text="Reference">
      <formula>NOT(ISERROR(SEARCH("Reference",R43)))</formula>
    </cfRule>
  </conditionalFormatting>
  <conditionalFormatting sqref="R43:S43">
    <cfRule type="containsText" dxfId="433" priority="27" operator="containsText" text="Reference">
      <formula>NOT(ISERROR(SEARCH("Reference",R43)))</formula>
    </cfRule>
  </conditionalFormatting>
  <conditionalFormatting sqref="R43:S43">
    <cfRule type="containsText" dxfId="432" priority="26" operator="containsText" text="Reference">
      <formula>NOT(ISERROR(SEARCH("Reference",R43)))</formula>
    </cfRule>
  </conditionalFormatting>
  <conditionalFormatting sqref="H43:I43">
    <cfRule type="containsText" dxfId="431" priority="25" operator="containsText" text="Reference">
      <formula>NOT(ISERROR(SEARCH("Reference",H43)))</formula>
    </cfRule>
  </conditionalFormatting>
  <conditionalFormatting sqref="H43:I43">
    <cfRule type="containsText" dxfId="430" priority="24" operator="containsText" text="Reference">
      <formula>NOT(ISERROR(SEARCH("Reference",H43)))</formula>
    </cfRule>
  </conditionalFormatting>
  <conditionalFormatting sqref="H43:I43">
    <cfRule type="containsText" dxfId="429" priority="23" operator="containsText" text="Reference">
      <formula>NOT(ISERROR(SEARCH("Reference",H43)))</formula>
    </cfRule>
  </conditionalFormatting>
  <conditionalFormatting sqref="C93:U93">
    <cfRule type="containsText" dxfId="428" priority="22" operator="containsText" text="Specify complete references and data sources used here">
      <formula>NOT(ISERROR(SEARCH("Specify complete references and data sources used here",C93)))</formula>
    </cfRule>
  </conditionalFormatting>
  <conditionalFormatting sqref="C94:U94">
    <cfRule type="containsText" dxfId="427" priority="21" operator="containsText" text="Specify complete references and data sources used here">
      <formula>NOT(ISERROR(SEARCH("Specify complete references and data sources used here",C94)))</formula>
    </cfRule>
  </conditionalFormatting>
  <conditionalFormatting sqref="L45">
    <cfRule type="containsText" dxfId="426" priority="19" operator="containsText" text="Reference">
      <formula>NOT(ISERROR(SEARCH("Reference",L45)))</formula>
    </cfRule>
  </conditionalFormatting>
  <conditionalFormatting sqref="L45">
    <cfRule type="containsText" dxfId="425" priority="18" operator="containsText" text="Reference">
      <formula>NOT(ISERROR(SEARCH("Reference",L45)))</formula>
    </cfRule>
  </conditionalFormatting>
  <conditionalFormatting sqref="L45">
    <cfRule type="containsText" dxfId="424" priority="17" operator="containsText" text="Reference">
      <formula>NOT(ISERROR(SEARCH("Reference",L45)))</formula>
    </cfRule>
  </conditionalFormatting>
  <conditionalFormatting sqref="L45">
    <cfRule type="containsText" dxfId="423" priority="16" operator="containsText" text="Reference">
      <formula>NOT(ISERROR(SEARCH("Reference",L45)))</formula>
    </cfRule>
  </conditionalFormatting>
  <conditionalFormatting sqref="Q45">
    <cfRule type="containsText" dxfId="422" priority="15" operator="containsText" text="Reference">
      <formula>NOT(ISERROR(SEARCH("Reference",Q45)))</formula>
    </cfRule>
  </conditionalFormatting>
  <conditionalFormatting sqref="Q45">
    <cfRule type="containsText" dxfId="421" priority="14" operator="containsText" text="Reference">
      <formula>NOT(ISERROR(SEARCH("Reference",Q45)))</formula>
    </cfRule>
  </conditionalFormatting>
  <conditionalFormatting sqref="Q45">
    <cfRule type="containsText" dxfId="420" priority="13" operator="containsText" text="Reference">
      <formula>NOT(ISERROR(SEARCH("Reference",Q45)))</formula>
    </cfRule>
  </conditionalFormatting>
  <conditionalFormatting sqref="Q45">
    <cfRule type="containsText" dxfId="419" priority="12" operator="containsText" text="Reference">
      <formula>NOT(ISERROR(SEARCH("Reference",Q45)))</formula>
    </cfRule>
  </conditionalFormatting>
  <conditionalFormatting sqref="Q43">
    <cfRule type="containsText" dxfId="418" priority="11" operator="containsText" text="Reference">
      <formula>NOT(ISERROR(SEARCH("Reference",Q43)))</formula>
    </cfRule>
  </conditionalFormatting>
  <conditionalFormatting sqref="Q43">
    <cfRule type="containsText" dxfId="417" priority="10" operator="containsText" text="Reference">
      <formula>NOT(ISERROR(SEARCH("Reference",Q43)))</formula>
    </cfRule>
  </conditionalFormatting>
  <conditionalFormatting sqref="Q43">
    <cfRule type="containsText" dxfId="416" priority="9" operator="containsText" text="Reference">
      <formula>NOT(ISERROR(SEARCH("Reference",Q43)))</formula>
    </cfRule>
  </conditionalFormatting>
  <conditionalFormatting sqref="Q43">
    <cfRule type="containsText" dxfId="415" priority="8" operator="containsText" text="Reference">
      <formula>NOT(ISERROR(SEARCH("Reference",Q43)))</formula>
    </cfRule>
  </conditionalFormatting>
  <conditionalFormatting sqref="B97 B99">
    <cfRule type="containsText" dxfId="414" priority="7" operator="containsText" text="Specify data sources and references here">
      <formula>NOT(ISERROR(SEARCH("Specify data sources and references here",B97)))</formula>
    </cfRule>
  </conditionalFormatting>
  <conditionalFormatting sqref="B107">
    <cfRule type="containsText" dxfId="413" priority="6" operator="containsText" text="Specify data sources and references here">
      <formula>NOT(ISERROR(SEARCH("Specify data sources and references here",B107)))</formula>
    </cfRule>
  </conditionalFormatting>
  <conditionalFormatting sqref="O11">
    <cfRule type="containsText" dxfId="412" priority="5" operator="containsText" text="Specify here">
      <formula>NOT(ISERROR(SEARCH("Specify here",O11)))</formula>
    </cfRule>
  </conditionalFormatting>
  <conditionalFormatting sqref="O12">
    <cfRule type="containsText" dxfId="411" priority="4" operator="containsText" text="Specify here">
      <formula>NOT(ISERROR(SEARCH("Specify here",O12)))</formula>
    </cfRule>
  </conditionalFormatting>
  <conditionalFormatting sqref="O7">
    <cfRule type="containsText" dxfId="410" priority="3" operator="containsText" text="DD-MM-YYYY">
      <formula>NOT(ISERROR(SEARCH("DD-MM-YYYY",O7)))</formula>
    </cfRule>
  </conditionalFormatting>
  <conditionalFormatting sqref="E40">
    <cfRule type="containsText" dxfId="409" priority="2" operator="containsText" text="Please select 'Functional Unit' above">
      <formula>NOT(ISERROR(SEARCH("Please select 'Functional Unit' above",E40)))</formula>
    </cfRule>
  </conditionalFormatting>
  <conditionalFormatting sqref="E42">
    <cfRule type="containsText" dxfId="408" priority="1" operator="containsText" text="Please select 'Functional Unit' above">
      <formula>NOT(ISERROR(SEARCH("Please select 'Functional Unit' above",E42)))</formula>
    </cfRule>
  </conditionalFormatting>
  <dataValidations count="2">
    <dataValidation allowBlank="1" showInputMessage="1" showErrorMessage="1" prompt="More details are found in 'READ ME' tab" sqref="D14" xr:uid="{18224862-2665-4B0C-9EF2-A674B3C83361}"/>
    <dataValidation type="list" allowBlank="1" showInputMessage="1" showErrorMessage="1" sqref="L33:O33" xr:uid="{9901DC60-A1E1-4973-90BC-3DD1AF773D91}">
      <formula1>$X$6:$X$9</formula1>
    </dataValidation>
  </dataValidations>
  <pageMargins left="0.7" right="0.7" top="0.75" bottom="0.75" header="0.3" footer="0.3"/>
  <pageSetup paperSize="9" scale="31" orientation="landscape" r:id="rId1"/>
  <drawing r:id="rId2"/>
  <extLst>
    <ext xmlns:x14="http://schemas.microsoft.com/office/spreadsheetml/2009/9/main" uri="{CCE6A557-97BC-4b89-ADB6-D9C93CAAB3DF}">
      <x14:dataValidations xmlns:xm="http://schemas.microsoft.com/office/excel/2006/main" count="14">
        <x14:dataValidation type="list" allowBlank="1" showInputMessage="1" showErrorMessage="1" prompt="More details are found in 'READ ME' tab" xr:uid="{3B2EFD59-C82A-4C21-BC7E-5967DA275EBD}">
          <x14:formula1>
            <xm:f>'READ ME'!$C$26:$C$34</xm:f>
          </x14:formula1>
          <xm:sqref>D13</xm:sqref>
        </x14:dataValidation>
        <x14:dataValidation type="list" allowBlank="1" showInputMessage="1" showErrorMessage="1" xr:uid="{F2D99DDC-1834-4945-A4B5-BD6659E600DE}">
          <x14:formula1>
            <xm:f>List!$Z$6:$Z$8</xm:f>
          </x14:formula1>
          <xm:sqref>D33</xm:sqref>
        </x14:dataValidation>
        <x14:dataValidation type="list" allowBlank="1" showInputMessage="1" showErrorMessage="1" xr:uid="{FCF60EDD-8723-4377-A8DE-0FD5E2B16B26}">
          <x14:formula1>
            <xm:f>List!$D$3:$D$17</xm:f>
          </x14:formula1>
          <xm:sqref>D11</xm:sqref>
        </x14:dataValidation>
        <x14:dataValidation type="list" allowBlank="1" showInputMessage="1" showErrorMessage="1" xr:uid="{76FA057E-DA0C-4011-B7C0-B5F22923686A}">
          <x14:formula1>
            <xm:f>List!$T$3:$T$6</xm:f>
          </x14:formula1>
          <xm:sqref>F70:F77</xm:sqref>
        </x14:dataValidation>
        <x14:dataValidation type="list" allowBlank="1" showInputMessage="1" showErrorMessage="1" xr:uid="{5C14CD96-F0E1-44BA-B106-C1D8217234AF}">
          <x14:formula1>
            <xm:f>List!$H$3:$H$10</xm:f>
          </x14:formula1>
          <xm:sqref>D29</xm:sqref>
        </x14:dataValidation>
        <x14:dataValidation type="list" allowBlank="1" showInputMessage="1" showErrorMessage="1" xr:uid="{514D6F72-5CFB-457A-96D1-251F32E68A05}">
          <x14:formula1>
            <xm:f>List!$F$3:$F$18</xm:f>
          </x14:formula1>
          <xm:sqref>D16:K17 F22</xm:sqref>
        </x14:dataValidation>
        <x14:dataValidation type="list" allowBlank="1" showInputMessage="1" showErrorMessage="1" xr:uid="{CF760670-593A-41D1-8C54-DCBEC36DBEBD}">
          <x14:formula1>
            <xm:f>List!$Z$2:$Z$4</xm:f>
          </x14:formula1>
          <xm:sqref>D10:K10</xm:sqref>
        </x14:dataValidation>
        <x14:dataValidation type="list" allowBlank="1" showInputMessage="1" showErrorMessage="1" xr:uid="{EDECACFC-8F15-4C64-B465-E09030EB7C87}">
          <x14:formula1>
            <xm:f>List!$R$3:$R$13</xm:f>
          </x14:formula1>
          <xm:sqref>D70:E77</xm:sqref>
        </x14:dataValidation>
        <x14:dataValidation type="list" allowBlank="1" showInputMessage="1" showErrorMessage="1" xr:uid="{6024F62B-4B5B-4E7B-B1C0-DD051F3161C6}">
          <x14:formula1>
            <xm:f>List!$Z$10:$Z$13</xm:f>
          </x14:formula1>
          <xm:sqref>D22:E24</xm:sqref>
        </x14:dataValidation>
        <x14:dataValidation type="list" allowBlank="1" showInputMessage="1" showErrorMessage="1" xr:uid="{324BA640-E1AE-435C-AD75-952525A1E97F}">
          <x14:formula1>
            <xm:f>List!$B$3:$B$27</xm:f>
          </x14:formula1>
          <xm:sqref>D8:K8</xm:sqref>
        </x14:dataValidation>
        <x14:dataValidation type="list" allowBlank="1" showInputMessage="1" showErrorMessage="1" xr:uid="{9A44C8FE-1B60-45F6-9D14-74E0B3D49EEB}">
          <x14:formula1>
            <xm:f>List!$J$3:$J$6</xm:f>
          </x14:formula1>
          <xm:sqref>E44:F45</xm:sqref>
        </x14:dataValidation>
        <x14:dataValidation type="list" allowBlank="1" showInputMessage="1" showErrorMessage="1" xr:uid="{BD3BACC7-D684-40EE-8504-235A8AB7AA54}">
          <x14:formula1>
            <xm:f>List!$Z$15:$Z$16</xm:f>
          </x14:formula1>
          <xm:sqref>D38:D45</xm:sqref>
        </x14:dataValidation>
        <x14:dataValidation type="list" allowBlank="1" showInputMessage="1" showErrorMessage="1" xr:uid="{B0DBFE3B-5AB8-4599-A340-DC1026EACFA2}">
          <x14:formula1>
            <xm:f>List!$L$2:$L$74</xm:f>
          </x14:formula1>
          <xm:sqref>D50:E51</xm:sqref>
        </x14:dataValidation>
        <x14:dataValidation type="list" allowBlank="1" showInputMessage="1" showErrorMessage="1" xr:uid="{67E90E8D-C3BA-4EE5-A845-0834B3E011DB}">
          <x14:formula1>
            <xm:f>List!$L$3:$L$67</xm:f>
          </x14:formula1>
          <xm:sqref>D52:E57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97"/>
  <sheetViews>
    <sheetView tabSelected="1" topLeftCell="A7" zoomScaleNormal="100" workbookViewId="0">
      <selection activeCell="D9" sqref="D9:O9"/>
    </sheetView>
  </sheetViews>
  <sheetFormatPr defaultColWidth="11" defaultRowHeight="15.75" x14ac:dyDescent="0.25"/>
  <cols>
    <col min="1" max="1" width="4.875" customWidth="1"/>
    <col min="2" max="3" width="15.5" customWidth="1"/>
    <col min="4" max="4" width="13.625" customWidth="1"/>
    <col min="5" max="5" width="13.75" customWidth="1"/>
    <col min="6" max="6" width="10.875" customWidth="1"/>
    <col min="17" max="19" width="12" customWidth="1"/>
    <col min="52" max="52" width="131" hidden="1" customWidth="1"/>
  </cols>
  <sheetData>
    <row r="1" spans="1:52" ht="21" x14ac:dyDescent="0.35">
      <c r="B1" s="3" t="s">
        <v>295</v>
      </c>
      <c r="C1" s="1"/>
      <c r="D1" s="1"/>
      <c r="E1" s="1"/>
      <c r="F1" s="1"/>
      <c r="G1" s="1"/>
      <c r="H1" s="1"/>
      <c r="I1" s="1"/>
      <c r="J1" s="1"/>
      <c r="K1" s="1"/>
      <c r="L1" s="1"/>
      <c r="M1" s="1"/>
      <c r="N1" s="1"/>
      <c r="O1" s="1"/>
      <c r="AZ1" s="106"/>
    </row>
    <row r="2" spans="1:52" ht="28.15" customHeight="1" thickBot="1" x14ac:dyDescent="0.3">
      <c r="A2" s="1"/>
      <c r="B2" s="1"/>
      <c r="C2" s="1"/>
      <c r="D2" s="1"/>
      <c r="E2" s="1"/>
      <c r="F2" s="1"/>
      <c r="G2" s="1"/>
      <c r="H2" s="1"/>
      <c r="I2" s="1"/>
      <c r="J2" s="1"/>
      <c r="K2" s="1"/>
      <c r="L2" s="1"/>
      <c r="M2" s="1"/>
      <c r="N2" s="1"/>
      <c r="O2" s="1"/>
      <c r="AZ2" s="106"/>
    </row>
    <row r="3" spans="1:52" ht="29.25" customHeight="1" thickBot="1" x14ac:dyDescent="0.3">
      <c r="A3" s="1"/>
      <c r="B3" s="536" t="str">
        <f>IF('Data input'!D5="Specify here"," ",UPPER('Data input'!D5))</f>
        <v>WIND ONSHORE</v>
      </c>
      <c r="C3" s="537"/>
      <c r="D3" s="537"/>
      <c r="E3" s="537"/>
      <c r="F3" s="537"/>
      <c r="G3" s="537"/>
      <c r="H3" s="537"/>
      <c r="I3" s="537"/>
      <c r="J3" s="537"/>
      <c r="K3" s="537"/>
      <c r="L3" s="537"/>
      <c r="M3" s="537"/>
      <c r="N3" s="537"/>
      <c r="O3" s="538"/>
      <c r="Q3" s="5"/>
      <c r="R3" s="5"/>
      <c r="S3" s="5"/>
      <c r="T3" s="5"/>
      <c r="U3" s="5"/>
      <c r="V3" s="5"/>
      <c r="W3" s="5"/>
      <c r="X3" s="5"/>
      <c r="AZ3" s="106"/>
    </row>
    <row r="4" spans="1:52" ht="16.5" thickBot="1" x14ac:dyDescent="0.3">
      <c r="A4" s="1"/>
      <c r="B4" s="526" t="s">
        <v>206</v>
      </c>
      <c r="C4" s="539"/>
      <c r="D4" s="540">
        <f>IF('Data input'!D6="DD-MM-YYYY"," ",'Data input'!D6)</f>
        <v>44427</v>
      </c>
      <c r="E4" s="541"/>
      <c r="F4" s="541"/>
      <c r="G4" s="541"/>
      <c r="H4" s="541"/>
      <c r="I4" s="541"/>
      <c r="J4" s="541"/>
      <c r="K4" s="541"/>
      <c r="L4" s="541"/>
      <c r="M4" s="541"/>
      <c r="N4" s="541"/>
      <c r="O4" s="542"/>
      <c r="Q4" s="245"/>
      <c r="R4" s="245"/>
      <c r="S4" s="245"/>
      <c r="AZ4" s="106"/>
    </row>
    <row r="5" spans="1:52" ht="16.5" thickBot="1" x14ac:dyDescent="0.3">
      <c r="A5" s="1"/>
      <c r="B5" s="515" t="s">
        <v>296</v>
      </c>
      <c r="C5" s="516"/>
      <c r="D5" s="560" t="str">
        <f>IF('Data input'!D7="Specify here"," ",'Data input'!D7)</f>
        <v>Luuk Beurskens</v>
      </c>
      <c r="E5" s="561"/>
      <c r="F5" s="561"/>
      <c r="G5" s="561"/>
      <c r="H5" s="561"/>
      <c r="I5" s="561"/>
      <c r="J5" s="561"/>
      <c r="K5" s="561"/>
      <c r="L5" s="561"/>
      <c r="M5" s="561"/>
      <c r="N5" s="561"/>
      <c r="O5" s="562"/>
      <c r="Q5" s="245" t="s">
        <v>297</v>
      </c>
      <c r="R5" s="245"/>
      <c r="S5" s="245"/>
      <c r="AZ5" s="106"/>
    </row>
    <row r="6" spans="1:52" x14ac:dyDescent="0.25">
      <c r="A6" s="1"/>
      <c r="B6" s="548" t="s">
        <v>51</v>
      </c>
      <c r="C6" s="549"/>
      <c r="D6" s="552" t="str">
        <f>IF('Data input'!D8="Please select"," ",'Data input'!D8)</f>
        <v>Electricity generation</v>
      </c>
      <c r="E6" s="553"/>
      <c r="F6" s="553"/>
      <c r="G6" s="553"/>
      <c r="H6" s="553"/>
      <c r="I6" s="553"/>
      <c r="J6" s="553"/>
      <c r="K6" s="553"/>
      <c r="L6" s="553"/>
      <c r="M6" s="553"/>
      <c r="N6" s="553"/>
      <c r="O6" s="554"/>
      <c r="Q6" s="246" t="s">
        <v>298</v>
      </c>
      <c r="R6" s="245"/>
      <c r="S6" s="245"/>
      <c r="AZ6" s="106"/>
    </row>
    <row r="7" spans="1:52" ht="16.5" thickBot="1" x14ac:dyDescent="0.3">
      <c r="A7" s="1"/>
      <c r="B7" s="550"/>
      <c r="C7" s="551"/>
      <c r="D7" s="543" t="str">
        <f>IF('Data input'!D9="Other (specify here)"," ",'Data input'!D9)</f>
        <v>Renewable</v>
      </c>
      <c r="E7" s="544"/>
      <c r="F7" s="544"/>
      <c r="G7" s="544"/>
      <c r="H7" s="544"/>
      <c r="I7" s="544"/>
      <c r="J7" s="544"/>
      <c r="K7" s="544"/>
      <c r="L7" s="544"/>
      <c r="M7" s="544"/>
      <c r="N7" s="544"/>
      <c r="O7" s="545"/>
      <c r="Q7" s="247"/>
      <c r="R7" s="247"/>
      <c r="S7" s="247"/>
      <c r="AZ7" s="106"/>
    </row>
    <row r="8" spans="1:52" ht="16.5" thickBot="1" x14ac:dyDescent="0.3">
      <c r="A8" s="1"/>
      <c r="B8" s="546" t="s">
        <v>55</v>
      </c>
      <c r="C8" s="547"/>
      <c r="D8" s="543" t="str">
        <f>IF('Data input'!D10="Please select"," ",'Data input'!D10)</f>
        <v>ETS</v>
      </c>
      <c r="E8" s="544"/>
      <c r="F8" s="544"/>
      <c r="G8" s="544"/>
      <c r="H8" s="544"/>
      <c r="I8" s="544"/>
      <c r="J8" s="544"/>
      <c r="K8" s="544"/>
      <c r="L8" s="544"/>
      <c r="M8" s="544"/>
      <c r="N8" s="544"/>
      <c r="O8" s="545"/>
      <c r="AZ8" s="106"/>
    </row>
    <row r="9" spans="1:52" ht="16.5" thickBot="1" x14ac:dyDescent="0.3">
      <c r="A9" s="1"/>
      <c r="B9" s="546" t="s">
        <v>57</v>
      </c>
      <c r="C9" s="547"/>
      <c r="D9" s="543" t="str">
        <f>IF('Data input'!D11="Please select"," ",'Data input'!D11)</f>
        <v>Renewable</v>
      </c>
      <c r="E9" s="544"/>
      <c r="F9" s="544"/>
      <c r="G9" s="544"/>
      <c r="H9" s="544"/>
      <c r="I9" s="544"/>
      <c r="J9" s="544"/>
      <c r="K9" s="544"/>
      <c r="L9" s="544"/>
      <c r="M9" s="544"/>
      <c r="N9" s="544"/>
      <c r="O9" s="545"/>
      <c r="AZ9" s="106"/>
    </row>
    <row r="10" spans="1:52" ht="135.6" customHeight="1" thickBot="1" x14ac:dyDescent="0.3">
      <c r="A10" s="1"/>
      <c r="B10" s="555" t="s">
        <v>60</v>
      </c>
      <c r="C10" s="556"/>
      <c r="D10" s="493" t="str">
        <f>IF('Data input'!D12="Specify here"," ",'Data input'!D12)</f>
        <v>Onshore wind power is a mature technology, deployed worldwide. Asia, Europe and the United States show the highest total capacity. Wind turbines have grown significantly over the past decades, resulting in increased yield and at the same time cost reductions. The larger the diameter of a wind turbine rotor, the larger the swept area, which increases quadratically with the length of a blade. This makes upscaling both technically and economically attractive. Usually, legal restrictions to tip height are in place, limiting the size of wind turbines. In order to benefit from further economies of scale, turbines are combined in wind parks. The turbine blades are driving a hub attached to an electric generator, located in the nacelle. The power is fed into the grid. Variability of the wind regime makes that the electricity supply capacity varies as well, from 0 MW in low wind or extremely stormy periods, up to maximum capacity at wind speeds within the design window. The yield of wind turbines strongly depends on the average annual wind conditions. Different wind classes require different turbine types. In this series of factsheets however, wind turbine characteristics do not vary in costs, but the main variable used is the yield, which depends on the regional wind speed. Six wind speed regions are defined for the Netherlands. The main information source for current onshore wind data is a meta study, performed in the Dutch subsidy scheme SDE++ (PBL 2021b). Future projections are based on combining projections from other reports with the SDE++ parameters.</v>
      </c>
      <c r="E10" s="494"/>
      <c r="F10" s="494"/>
      <c r="G10" s="494"/>
      <c r="H10" s="494"/>
      <c r="I10" s="494"/>
      <c r="J10" s="494"/>
      <c r="K10" s="494"/>
      <c r="L10" s="494"/>
      <c r="M10" s="494"/>
      <c r="N10" s="494"/>
      <c r="O10" s="495"/>
      <c r="AZ10" s="106" t="str">
        <f>D10</f>
        <v>Onshore wind power is a mature technology, deployed worldwide. Asia, Europe and the United States show the highest total capacity. Wind turbines have grown significantly over the past decades, resulting in increased yield and at the same time cost reductions. The larger the diameter of a wind turbine rotor, the larger the swept area, which increases quadratically with the length of a blade. This makes upscaling both technically and economically attractive. Usually, legal restrictions to tip height are in place, limiting the size of wind turbines. In order to benefit from further economies of scale, turbines are combined in wind parks. The turbine blades are driving a hub attached to an electric generator, located in the nacelle. The power is fed into the grid. Variability of the wind regime makes that the electricity supply capacity varies as well, from 0 MW in low wind or extremely stormy periods, up to maximum capacity at wind speeds within the design window. The yield of wind turbines strongly depends on the average annual wind conditions. Different wind classes require different turbine types. In this series of factsheets however, wind turbine characteristics do not vary in costs, but the main variable used is the yield, which depends on the regional wind speed. Six wind speed regions are defined for the Netherlands. The main information source for current onshore wind data is a meta study, performed in the Dutch subsidy scheme SDE++ (PBL 2021b). Future projections are based on combining projections from other reports with the SDE++ parameters.</v>
      </c>
    </row>
    <row r="11" spans="1:52" ht="16.5" thickBot="1" x14ac:dyDescent="0.3">
      <c r="A11" s="1"/>
      <c r="B11" s="248" t="s">
        <v>10</v>
      </c>
      <c r="C11" s="249"/>
      <c r="D11" s="557" t="str">
        <f>IF('Data input'!D13="Select the observed or expected TRL level in 2020"," ",'Data input'!D13)</f>
        <v>TRL 9</v>
      </c>
      <c r="E11" s="558"/>
      <c r="F11" s="558"/>
      <c r="G11" s="558"/>
      <c r="H11" s="558"/>
      <c r="I11" s="558"/>
      <c r="J11" s="558"/>
      <c r="K11" s="558"/>
      <c r="L11" s="558"/>
      <c r="M11" s="558"/>
      <c r="N11" s="558"/>
      <c r="O11" s="559"/>
      <c r="AZ11" s="106"/>
    </row>
    <row r="12" spans="1:52" ht="63.75" thickBot="1" x14ac:dyDescent="0.3">
      <c r="A12" s="1"/>
      <c r="B12" s="250"/>
      <c r="C12" s="251"/>
      <c r="D12" s="506" t="str">
        <f>IF('Data input'!D14="Explain here (add reference sources)"," ",'Data input'!D14)</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c r="E12" s="507"/>
      <c r="F12" s="507"/>
      <c r="G12" s="507"/>
      <c r="H12" s="507"/>
      <c r="I12" s="507"/>
      <c r="J12" s="507"/>
      <c r="K12" s="507"/>
      <c r="L12" s="507"/>
      <c r="M12" s="507"/>
      <c r="N12" s="507"/>
      <c r="O12" s="508"/>
      <c r="AZ12" s="106" t="str">
        <f>D12</f>
        <v>According to the Global Wind Energy Council (GWEC, 2021), 707 GW onshore wind and 35 GW offshore wind are cumulatively installed at the end of 2020 worldwide. For Europe, GWEC estimates 194 GW onshore wind and 25 GW offshore wind (both 2020). For the Netherlands, Statistics Netherlands (CBS, 2021) estimates the offshore wind capacity by the end of 2020 to be 2460 MW (electricity generated in 2020: 4985 GWh, normalised). Dutch capacity for onshore wind in 2020 was 4159 MW (normalised electricity generated in 2020: 8960 GWh).</v>
      </c>
    </row>
    <row r="13" spans="1:52" ht="16.5" thickBot="1" x14ac:dyDescent="0.3">
      <c r="A13" s="1"/>
      <c r="B13" s="504" t="s">
        <v>85</v>
      </c>
      <c r="C13" s="478"/>
      <c r="D13" s="478"/>
      <c r="E13" s="478"/>
      <c r="F13" s="478"/>
      <c r="G13" s="478"/>
      <c r="H13" s="478"/>
      <c r="I13" s="478"/>
      <c r="J13" s="478"/>
      <c r="K13" s="478"/>
      <c r="L13" s="478"/>
      <c r="M13" s="478"/>
      <c r="N13" s="478"/>
      <c r="O13" s="479"/>
      <c r="AZ13" s="106"/>
    </row>
    <row r="14" spans="1:52" x14ac:dyDescent="0.25">
      <c r="A14" s="1"/>
      <c r="B14" s="548"/>
      <c r="C14" s="549"/>
      <c r="D14" s="564" t="s">
        <v>218</v>
      </c>
      <c r="E14" s="565"/>
      <c r="F14" s="566"/>
      <c r="G14" s="563" t="s">
        <v>299</v>
      </c>
      <c r="H14" s="485"/>
      <c r="I14" s="485"/>
      <c r="J14" s="485"/>
      <c r="K14" s="485"/>
      <c r="L14" s="485"/>
      <c r="M14" s="485"/>
      <c r="N14" s="523"/>
      <c r="O14" s="498"/>
      <c r="AZ14" s="106"/>
    </row>
    <row r="15" spans="1:52" x14ac:dyDescent="0.25">
      <c r="A15" s="1"/>
      <c r="B15" s="574" t="s">
        <v>11</v>
      </c>
      <c r="C15" s="575"/>
      <c r="D15" s="586" t="str">
        <f>IF('Data input'!D19="Select Functional Unit above","",'Data input'!D19)</f>
        <v>MW</v>
      </c>
      <c r="E15" s="587"/>
      <c r="F15" s="588"/>
      <c r="G15" s="593">
        <f>'Data input'!G19</f>
        <v>4</v>
      </c>
      <c r="H15" s="594"/>
      <c r="I15" s="594"/>
      <c r="J15" s="594"/>
      <c r="K15" s="594"/>
      <c r="L15" s="594"/>
      <c r="M15" s="594"/>
      <c r="N15" s="595"/>
      <c r="O15" s="596"/>
      <c r="AZ15" s="106"/>
    </row>
    <row r="16" spans="1:52" ht="16.5" thickBot="1" x14ac:dyDescent="0.3">
      <c r="A16" s="1"/>
      <c r="B16" s="87"/>
      <c r="C16" s="260"/>
      <c r="D16" s="589"/>
      <c r="E16" s="590"/>
      <c r="F16" s="591"/>
      <c r="G16" s="602">
        <f>IF('Data input'!G19="","Min",MIN('Data input'!G19:K19))</f>
        <v>4</v>
      </c>
      <c r="H16" s="603"/>
      <c r="I16" s="603"/>
      <c r="J16" s="604" t="s">
        <v>14</v>
      </c>
      <c r="K16" s="604"/>
      <c r="L16" s="604"/>
      <c r="M16" s="603">
        <f>IF('Data input'!G19="","Max",MAX('Data input'!G19:K19))</f>
        <v>4</v>
      </c>
      <c r="N16" s="605"/>
      <c r="O16" s="606"/>
      <c r="AZ16" s="106"/>
    </row>
    <row r="17" spans="1:52" x14ac:dyDescent="0.25">
      <c r="A17" s="1"/>
      <c r="B17" s="88"/>
      <c r="C17" s="261"/>
      <c r="D17" s="582" t="str">
        <f>IF('Data input'!D22="Please select the region","",'Data input'!D22)</f>
        <v>NL</v>
      </c>
      <c r="E17" s="583"/>
      <c r="F17" s="607" t="str">
        <f>IF('Data input'!F22="Please select","",'Data input'!F22)</f>
        <v>GW</v>
      </c>
      <c r="G17" s="484" t="s">
        <v>300</v>
      </c>
      <c r="H17" s="485"/>
      <c r="I17" s="485"/>
      <c r="J17" s="485">
        <v>2030</v>
      </c>
      <c r="K17" s="485"/>
      <c r="L17" s="485"/>
      <c r="M17" s="485">
        <v>2050</v>
      </c>
      <c r="N17" s="485"/>
      <c r="O17" s="498"/>
      <c r="AZ17" s="106"/>
    </row>
    <row r="18" spans="1:52" x14ac:dyDescent="0.25">
      <c r="A18" s="1"/>
      <c r="B18" s="88" t="s">
        <v>13</v>
      </c>
      <c r="C18" s="262"/>
      <c r="D18" s="584"/>
      <c r="E18" s="585"/>
      <c r="F18" s="608"/>
      <c r="G18" s="578">
        <f>'Data input'!G23</f>
        <v>6</v>
      </c>
      <c r="H18" s="569"/>
      <c r="I18" s="569"/>
      <c r="J18" s="569">
        <f>'Data input'!L23</f>
        <v>11</v>
      </c>
      <c r="K18" s="569"/>
      <c r="L18" s="569"/>
      <c r="M18" s="569">
        <f>'Data input'!Q23</f>
        <v>15</v>
      </c>
      <c r="N18" s="569"/>
      <c r="O18" s="570"/>
      <c r="AZ18" s="106"/>
    </row>
    <row r="19" spans="1:52" ht="16.5" thickBot="1" x14ac:dyDescent="0.3">
      <c r="A19" s="1"/>
      <c r="B19" s="87"/>
      <c r="C19" s="260"/>
      <c r="D19" s="584"/>
      <c r="E19" s="585"/>
      <c r="F19" s="608"/>
      <c r="G19" s="285">
        <f>IF('Data input'!G23="","Min",MIN('Data input'!G23:K23))</f>
        <v>6</v>
      </c>
      <c r="H19" s="286" t="s">
        <v>301</v>
      </c>
      <c r="I19" s="287">
        <f>IF('Data input'!G23="","Max",MAX('Data input'!G23:K23))</f>
        <v>6</v>
      </c>
      <c r="J19" s="287">
        <f>IF('Data input'!L23="","Min",MIN('Data input'!L23:P23))</f>
        <v>11</v>
      </c>
      <c r="K19" s="286" t="s">
        <v>301</v>
      </c>
      <c r="L19" s="287">
        <f>IF('Data input'!L23="","Max",MAX('Data input'!L23:P23))</f>
        <v>11</v>
      </c>
      <c r="M19" s="287">
        <f>IF('Data input'!Q23="","Min",MIN('Data input'!Q23:U23))</f>
        <v>8</v>
      </c>
      <c r="N19" s="286" t="s">
        <v>301</v>
      </c>
      <c r="O19" s="288">
        <f>IF('Data input'!Q23="","Max",MAX('Data input'!Q23:U23))</f>
        <v>16</v>
      </c>
      <c r="AZ19" s="106"/>
    </row>
    <row r="20" spans="1:52" x14ac:dyDescent="0.25">
      <c r="A20" s="1"/>
      <c r="B20" s="88" t="s">
        <v>15</v>
      </c>
      <c r="C20" s="262"/>
      <c r="D20" s="627" t="str">
        <f>IF('Data input'!D25="Specify here the market","",'Data input'!D25)</f>
        <v/>
      </c>
      <c r="E20" s="628"/>
      <c r="F20" s="630" t="s">
        <v>16</v>
      </c>
      <c r="G20" s="579">
        <f>'Data input'!G25</f>
        <v>0</v>
      </c>
      <c r="H20" s="580"/>
      <c r="I20" s="580"/>
      <c r="J20" s="580">
        <f>'Data input'!L25</f>
        <v>0</v>
      </c>
      <c r="K20" s="580"/>
      <c r="L20" s="580"/>
      <c r="M20" s="580">
        <f>'Data input'!Q25</f>
        <v>0</v>
      </c>
      <c r="N20" s="580"/>
      <c r="O20" s="581"/>
      <c r="AZ20" s="106"/>
    </row>
    <row r="21" spans="1:52" ht="16.5" thickBot="1" x14ac:dyDescent="0.3">
      <c r="A21" s="1"/>
      <c r="B21" s="88"/>
      <c r="C21" s="262"/>
      <c r="D21" s="589"/>
      <c r="E21" s="629"/>
      <c r="F21" s="631"/>
      <c r="G21" s="263" t="str">
        <f>IF('Data input'!G25="","Min",MIN('Data input'!G25:K25))</f>
        <v>Min</v>
      </c>
      <c r="H21" s="264" t="s">
        <v>301</v>
      </c>
      <c r="I21" s="252" t="str">
        <f>IF('Data input'!G25="","Max",MAX('Data input'!G25:K25))</f>
        <v>Max</v>
      </c>
      <c r="J21" s="264" t="str">
        <f>IF('Data input'!L25="","Min",MIN('Data input'!L25:P25))</f>
        <v>Min</v>
      </c>
      <c r="K21" s="264" t="s">
        <v>301</v>
      </c>
      <c r="L21" s="252" t="str">
        <f>IF('Data input'!L25="","Max",MAX('Data input'!L25:P25))</f>
        <v>Max</v>
      </c>
      <c r="M21" s="264" t="str">
        <f>IF('Data input'!Q25="","Min",MIN('Data input'!Q25:U25))</f>
        <v>Min</v>
      </c>
      <c r="N21" s="264" t="s">
        <v>301</v>
      </c>
      <c r="O21" s="265" t="str">
        <f>IF('Data input'!Q25="","Max",MAX('Data input'!Q25:U25))</f>
        <v>Max</v>
      </c>
      <c r="AZ21" s="106"/>
    </row>
    <row r="22" spans="1:52" ht="16.5" thickBot="1" x14ac:dyDescent="0.3">
      <c r="A22" s="1"/>
      <c r="B22" s="567" t="s">
        <v>17</v>
      </c>
      <c r="C22" s="568"/>
      <c r="D22" s="571">
        <f>IF('Data input'!D27="Specify here (if not specified, value will be 1)",1,'Data input'!D27)</f>
        <v>1</v>
      </c>
      <c r="E22" s="572"/>
      <c r="F22" s="572"/>
      <c r="G22" s="572"/>
      <c r="H22" s="572"/>
      <c r="I22" s="572"/>
      <c r="J22" s="572"/>
      <c r="K22" s="572"/>
      <c r="L22" s="572"/>
      <c r="M22" s="572"/>
      <c r="N22" s="572"/>
      <c r="O22" s="573"/>
      <c r="AZ22" s="106"/>
    </row>
    <row r="23" spans="1:52" ht="16.5" thickBot="1" x14ac:dyDescent="0.3">
      <c r="A23" s="1"/>
      <c r="B23" s="567" t="s">
        <v>18</v>
      </c>
      <c r="C23" s="568"/>
      <c r="D23" s="609">
        <f>IF('Data input'!D28="Specify here"," ",'Data input'!D28)</f>
        <v>2250</v>
      </c>
      <c r="E23" s="610"/>
      <c r="F23" s="610"/>
      <c r="G23" s="610"/>
      <c r="H23" s="610"/>
      <c r="I23" s="610"/>
      <c r="J23" s="610"/>
      <c r="K23" s="610"/>
      <c r="L23" s="610"/>
      <c r="M23" s="610"/>
      <c r="N23" s="610"/>
      <c r="O23" s="611"/>
      <c r="AZ23" s="106"/>
    </row>
    <row r="24" spans="1:52" ht="16.5" thickBot="1" x14ac:dyDescent="0.3">
      <c r="A24" s="1"/>
      <c r="B24" s="567" t="s">
        <v>20</v>
      </c>
      <c r="C24" s="568"/>
      <c r="D24" s="111" t="str">
        <f>IF('Data input'!D29="Please select"," ",'Data input'!D29)</f>
        <v>PJ/year</v>
      </c>
      <c r="E24" s="622" t="str">
        <f>IF('Data input'!D30="Specify here"," ",'Data input'!D30)</f>
        <v xml:space="preserve"> </v>
      </c>
      <c r="F24" s="623"/>
      <c r="G24" s="623"/>
      <c r="H24" s="623"/>
      <c r="I24" s="623"/>
      <c r="J24" s="623"/>
      <c r="K24" s="623"/>
      <c r="L24" s="623"/>
      <c r="M24" s="623"/>
      <c r="N24" s="623"/>
      <c r="O24" s="624"/>
      <c r="AZ24" s="106"/>
    </row>
    <row r="25" spans="1:52" ht="16.5" thickBot="1" x14ac:dyDescent="0.3">
      <c r="A25" s="1"/>
      <c r="B25" s="567" t="s">
        <v>22</v>
      </c>
      <c r="C25" s="568"/>
      <c r="D25" s="571">
        <f>IF('Data input'!D31="Specify here"," ",'Data input'!D31)</f>
        <v>20</v>
      </c>
      <c r="E25" s="572"/>
      <c r="F25" s="572"/>
      <c r="G25" s="572"/>
      <c r="H25" s="572"/>
      <c r="I25" s="572"/>
      <c r="J25" s="572"/>
      <c r="K25" s="572"/>
      <c r="L25" s="572"/>
      <c r="M25" s="572"/>
      <c r="N25" s="572"/>
      <c r="O25" s="573"/>
      <c r="AZ25" s="106"/>
    </row>
    <row r="26" spans="1:52" ht="16.5" thickBot="1" x14ac:dyDescent="0.3">
      <c r="A26" s="1"/>
      <c r="B26" s="567" t="s">
        <v>23</v>
      </c>
      <c r="C26" s="568"/>
      <c r="D26" s="612" t="str">
        <f>IF('Data input'!D32="Specify here"," ",'Data input'!D32)</f>
        <v xml:space="preserve"> </v>
      </c>
      <c r="E26" s="613"/>
      <c r="F26" s="613"/>
      <c r="G26" s="613"/>
      <c r="H26" s="613"/>
      <c r="I26" s="613"/>
      <c r="J26" s="613"/>
      <c r="K26" s="613"/>
      <c r="L26" s="613"/>
      <c r="M26" s="613"/>
      <c r="N26" s="613"/>
      <c r="O26" s="614"/>
      <c r="AZ26" s="106"/>
    </row>
    <row r="27" spans="1:52" ht="16.5" thickBot="1" x14ac:dyDescent="0.3">
      <c r="A27" s="1"/>
      <c r="B27" s="567" t="s">
        <v>24</v>
      </c>
      <c r="C27" s="568"/>
      <c r="D27" s="619" t="str">
        <f>IF('Data input'!D33="Please select"," ",'Data input'!D33)</f>
        <v>Yes</v>
      </c>
      <c r="E27" s="620"/>
      <c r="F27" s="620"/>
      <c r="G27" s="620"/>
      <c r="H27" s="620"/>
      <c r="I27" s="620"/>
      <c r="J27" s="620"/>
      <c r="K27" s="620"/>
      <c r="L27" s="620"/>
      <c r="M27" s="620"/>
      <c r="N27" s="620"/>
      <c r="O27" s="621"/>
      <c r="AZ27" s="106"/>
    </row>
    <row r="28" spans="1:52" ht="310.14999999999998" customHeight="1" thickBot="1" x14ac:dyDescent="0.3">
      <c r="A28" s="1"/>
      <c r="B28" s="617" t="s">
        <v>277</v>
      </c>
      <c r="C28" s="618"/>
      <c r="D28" s="493" t="str">
        <f>IF('Data input'!D34="Explain here (e.g. other technical dimensions, region covered for potential such as NL or EU)"," ",'Data input'!D34&amp;'Data input'!L34&amp;".")</f>
        <v xml:space="preserve">
'Dutch onshore wind capacity in 2020 was 4159 MW. This is lower than the 6 GW agreed in the Energieakkoord voor duurzame groei (2013). PBL estimates in her Monitor concept-RES (PBL, 2021a), based on an analysis of the draft regional energy strategies (RES), that the cumulatively planned electricity production from wind is around 30 TWh by 2030. This value includes plans where no decision has been made between solar PV and wind. Assuming an average full load factor of 2750 hours per year by 2030 the anticipated onshore wind power capacity would be around 11 GW. In the report an analysis of the pipeline of wind projects is also presented. From this, PBL estimates a minimum realisation of approximately 6.6 GW (18.5 TWh) by 2030, based on projects currently under development. Various studies for the Netherlands report long term realisations for 2050, ranging from 5 to 16 GW onshore wind power. The potential is not so much constrained in terms of space available, but it is a matter of ambition and societal acceptance. For the factsheet document, total Dutch onshore wind power potential is put at 15 GW by 2050, at a future average of 3000 full load hours resulting in 45 TWh. 
Wind speed category more than 8.5 m/s (dark red) gives approximately 450 MW (1.8 TWh) in 2050
Wind speed category between 8.0 and 8.5 m/s (red) gives approximately 1200 MW (4.4 TWh) in 2050
Wind speed category between 7.5 and 8.0 m/s (orange) gives approximately 2850 MW (9.6 TWh) in 2050
Wind speed category between 7.0 and 7.5 m/s (green) gives approximately 4350 MW (13.2 TWh) in 2050
Wind speed category between 6.75 and 7.0 m/s (light blue) gives approximately 1500 MW (4.1 TWh) in 2050
Wind speed category below  6.75 m/s (blue) gives approximately 4650 MW (11.8 TWh) in 2050
See the picture (RVO, 2021) for an indication of the average wind speeds throughout the Netherlands.</v>
      </c>
      <c r="E28" s="494"/>
      <c r="F28" s="494"/>
      <c r="G28" s="494"/>
      <c r="H28" s="494"/>
      <c r="I28" s="494"/>
      <c r="J28" s="494"/>
      <c r="K28" s="494"/>
      <c r="L28" s="625"/>
      <c r="M28" s="625"/>
      <c r="N28" s="625"/>
      <c r="O28" s="626"/>
      <c r="AZ28" s="106" t="str">
        <f>D28</f>
        <v xml:space="preserve">
'Dutch onshore wind capacity in 2020 was 4159 MW. This is lower than the 6 GW agreed in the Energieakkoord voor duurzame groei (2013). PBL estimates in her Monitor concept-RES (PBL, 2021a), based on an analysis of the draft regional energy strategies (RES), that the cumulatively planned electricity production from wind is around 30 TWh by 2030. This value includes plans where no decision has been made between solar PV and wind. Assuming an average full load factor of 2750 hours per year by 2030 the anticipated onshore wind power capacity would be around 11 GW. In the report an analysis of the pipeline of wind projects is also presented. From this, PBL estimates a minimum realisation of approximately 6.6 GW (18.5 TWh) by 2030, based on projects currently under development. Various studies for the Netherlands report long term realisations for 2050, ranging from 5 to 16 GW onshore wind power. The potential is not so much constrained in terms of space available, but it is a matter of ambition and societal acceptance. For the factsheet document, total Dutch onshore wind power potential is put at 15 GW by 2050, at a future average of 3000 full load hours resulting in 45 TWh. 
Wind speed category more than 8.5 m/s (dark red) gives approximately 450 MW (1.8 TWh) in 2050
Wind speed category between 8.0 and 8.5 m/s (red) gives approximately 1200 MW (4.4 TWh) in 2050
Wind speed category between 7.5 and 8.0 m/s (orange) gives approximately 2850 MW (9.6 TWh) in 2050
Wind speed category between 7.0 and 7.5 m/s (green) gives approximately 4350 MW (13.2 TWh) in 2050
Wind speed category between 6.75 and 7.0 m/s (light blue) gives approximately 1500 MW (4.1 TWh) in 2050
Wind speed category below  6.75 m/s (blue) gives approximately 4650 MW (11.8 TWh) in 2050
See the picture (RVO, 2021) for an indication of the average wind speeds throughout the Netherlands.</v>
      </c>
    </row>
    <row r="29" spans="1:52" ht="16.5" thickBot="1" x14ac:dyDescent="0.3">
      <c r="A29" s="1"/>
      <c r="B29" s="476" t="s">
        <v>117</v>
      </c>
      <c r="C29" s="477"/>
      <c r="D29" s="477"/>
      <c r="E29" s="477"/>
      <c r="F29" s="477"/>
      <c r="G29" s="477"/>
      <c r="H29" s="477"/>
      <c r="I29" s="477"/>
      <c r="J29" s="477"/>
      <c r="K29" s="477"/>
      <c r="L29" s="477"/>
      <c r="M29" s="477"/>
      <c r="N29" s="477"/>
      <c r="O29" s="592"/>
      <c r="AZ29" s="106"/>
    </row>
    <row r="30" spans="1:52" ht="16.5" thickBot="1" x14ac:dyDescent="0.3">
      <c r="A30" s="1"/>
      <c r="B30" s="576" t="s">
        <v>118</v>
      </c>
      <c r="C30" s="577"/>
      <c r="D30" s="597">
        <v>2015</v>
      </c>
      <c r="E30" s="598"/>
      <c r="F30" s="598"/>
      <c r="G30" s="598"/>
      <c r="H30" s="598"/>
      <c r="I30" s="598"/>
      <c r="J30" s="598"/>
      <c r="K30" s="598"/>
      <c r="L30" s="598"/>
      <c r="M30" s="598"/>
      <c r="N30" s="598"/>
      <c r="O30" s="599"/>
      <c r="AZ30" s="106"/>
    </row>
    <row r="31" spans="1:52" x14ac:dyDescent="0.25">
      <c r="A31" s="1"/>
      <c r="B31" s="480" t="s">
        <v>26</v>
      </c>
      <c r="C31" s="481"/>
      <c r="D31" s="600" t="s">
        <v>302</v>
      </c>
      <c r="E31" s="601"/>
      <c r="F31" s="601"/>
      <c r="G31" s="484" t="s">
        <v>300</v>
      </c>
      <c r="H31" s="485"/>
      <c r="I31" s="485"/>
      <c r="J31" s="485">
        <v>2030</v>
      </c>
      <c r="K31" s="485"/>
      <c r="L31" s="485"/>
      <c r="M31" s="485">
        <v>2050</v>
      </c>
      <c r="N31" s="485"/>
      <c r="O31" s="498"/>
      <c r="AZ31" s="106"/>
    </row>
    <row r="32" spans="1:52" x14ac:dyDescent="0.25">
      <c r="A32" s="1"/>
      <c r="B32" s="482"/>
      <c r="C32" s="483"/>
      <c r="D32" s="615" t="str">
        <f>'Data input'!D38</f>
        <v xml:space="preserve">€ / </v>
      </c>
      <c r="E32" s="392" t="s">
        <v>12</v>
      </c>
      <c r="F32" s="392"/>
      <c r="G32" s="578">
        <f>'Data input'!G38</f>
        <v>1149</v>
      </c>
      <c r="H32" s="569"/>
      <c r="I32" s="569"/>
      <c r="J32" s="569">
        <f>'Data input'!L38</f>
        <v>1091</v>
      </c>
      <c r="K32" s="569"/>
      <c r="L32" s="569"/>
      <c r="M32" s="569">
        <f>'Data input'!Q38</f>
        <v>982</v>
      </c>
      <c r="N32" s="569"/>
      <c r="O32" s="570"/>
      <c r="AZ32" s="106"/>
    </row>
    <row r="33" spans="1:52" ht="16.5" thickBot="1" x14ac:dyDescent="0.3">
      <c r="A33" s="1"/>
      <c r="B33" s="524"/>
      <c r="C33" s="525"/>
      <c r="D33" s="616"/>
      <c r="E33" s="395"/>
      <c r="F33" s="395"/>
      <c r="G33" s="294">
        <f>IF('Data input'!G38="","Min",MIN('Data input'!G38:K38))</f>
        <v>1010</v>
      </c>
      <c r="H33" s="295" t="s">
        <v>301</v>
      </c>
      <c r="I33" s="296">
        <f>IF('Data input'!G38="","Max",MAX('Data input'!G38:K38))</f>
        <v>1234</v>
      </c>
      <c r="J33" s="297">
        <f>IF('Data input'!L38="","Min",MIN('Data input'!L38:P38))</f>
        <v>770</v>
      </c>
      <c r="K33" s="295" t="s">
        <v>301</v>
      </c>
      <c r="L33" s="296">
        <f>IF('Data input'!L38="","Max",MAX('Data input'!L38:P38))</f>
        <v>1118</v>
      </c>
      <c r="M33" s="297">
        <f>IF('Data input'!Q38="","Min",MIN('Data input'!Q38:U38))</f>
        <v>688</v>
      </c>
      <c r="N33" s="295" t="s">
        <v>301</v>
      </c>
      <c r="O33" s="298">
        <f>IF('Data input'!Q38="","Max",MAX('Data input'!Q38:U38))</f>
        <v>1058</v>
      </c>
      <c r="AZ33" s="106"/>
    </row>
    <row r="34" spans="1:52" x14ac:dyDescent="0.25">
      <c r="A34" s="1"/>
      <c r="B34" s="648" t="s">
        <v>28</v>
      </c>
      <c r="C34" s="649"/>
      <c r="D34" s="615" t="str">
        <f>'Data input'!D40</f>
        <v xml:space="preserve">€ / </v>
      </c>
      <c r="E34" s="392" t="s">
        <v>12</v>
      </c>
      <c r="F34" s="392"/>
      <c r="G34" s="491">
        <f>'Data input'!G40</f>
        <v>0</v>
      </c>
      <c r="H34" s="492"/>
      <c r="I34" s="492"/>
      <c r="J34" s="492">
        <f>'Data input'!L40</f>
        <v>0</v>
      </c>
      <c r="K34" s="492"/>
      <c r="L34" s="492"/>
      <c r="M34" s="492">
        <f>'Data input'!Q40</f>
        <v>0</v>
      </c>
      <c r="N34" s="492"/>
      <c r="O34" s="500"/>
      <c r="AZ34" s="106"/>
    </row>
    <row r="35" spans="1:52" ht="16.5" thickBot="1" x14ac:dyDescent="0.3">
      <c r="A35" s="1"/>
      <c r="B35" s="650"/>
      <c r="C35" s="651"/>
      <c r="D35" s="616"/>
      <c r="E35" s="395"/>
      <c r="F35" s="395"/>
      <c r="G35" s="266" t="str">
        <f>IF('Data input'!G40="","Min",MIN('Data input'!G40:K40))</f>
        <v>Min</v>
      </c>
      <c r="H35" s="253" t="s">
        <v>301</v>
      </c>
      <c r="I35" s="267" t="str">
        <f>IF('Data input'!G40="","Max",MAX('Data input'!G40:K40))</f>
        <v>Max</v>
      </c>
      <c r="J35" s="268" t="str">
        <f>IF('Data input'!L40="","Min",MIN('Data input'!L40:P40))</f>
        <v>Min</v>
      </c>
      <c r="K35" s="253" t="s">
        <v>301</v>
      </c>
      <c r="L35" s="267" t="str">
        <f>IF('Data input'!L40="","Max",MAX('Data input'!L40:P40))</f>
        <v>Max</v>
      </c>
      <c r="M35" s="268" t="str">
        <f>IF('Data input'!Q40="","Min",MIN('Data input'!Q40:U40))</f>
        <v>Min</v>
      </c>
      <c r="N35" s="253" t="s">
        <v>301</v>
      </c>
      <c r="O35" s="269" t="str">
        <f>IF('Data input'!Q40="","Max",MAX('Data input'!Q40:U40))</f>
        <v>Max</v>
      </c>
      <c r="AZ35" s="106"/>
    </row>
    <row r="36" spans="1:52" x14ac:dyDescent="0.25">
      <c r="A36" s="1"/>
      <c r="B36" s="480" t="s">
        <v>29</v>
      </c>
      <c r="C36" s="481"/>
      <c r="D36" s="615" t="str">
        <f>'Data input'!D42</f>
        <v xml:space="preserve">€ / </v>
      </c>
      <c r="E36" s="392" t="s">
        <v>12</v>
      </c>
      <c r="F36" s="392"/>
      <c r="G36" s="635">
        <f>'Data input'!G42</f>
        <v>10.7</v>
      </c>
      <c r="H36" s="632"/>
      <c r="I36" s="632"/>
      <c r="J36" s="632">
        <f>'Data input'!L42</f>
        <v>10.1</v>
      </c>
      <c r="K36" s="632"/>
      <c r="L36" s="632"/>
      <c r="M36" s="632">
        <f>'Data input'!Q42</f>
        <v>9.1</v>
      </c>
      <c r="N36" s="632"/>
      <c r="O36" s="633"/>
      <c r="AZ36" s="106"/>
    </row>
    <row r="37" spans="1:52" ht="16.5" thickBot="1" x14ac:dyDescent="0.3">
      <c r="A37" s="1"/>
      <c r="B37" s="524"/>
      <c r="C37" s="525"/>
      <c r="D37" s="616"/>
      <c r="E37" s="395"/>
      <c r="F37" s="395"/>
      <c r="G37" s="289">
        <f>IF('Data input'!G42="","Min",MIN('Data input'!G42:K42))</f>
        <v>9.6</v>
      </c>
      <c r="H37" s="290" t="s">
        <v>301</v>
      </c>
      <c r="I37" s="291">
        <f>IF('Data input'!G42="","Max",MAX('Data input'!G42:K42))</f>
        <v>11.7</v>
      </c>
      <c r="J37" s="292">
        <f>IF('Data input'!L42="","Min",MIN('Data input'!L42:P42))</f>
        <v>8.3000000000000007</v>
      </c>
      <c r="K37" s="290" t="s">
        <v>301</v>
      </c>
      <c r="L37" s="291">
        <f>IF('Data input'!L42="","Max",MAX('Data input'!L42:P42))</f>
        <v>12.1</v>
      </c>
      <c r="M37" s="292">
        <f>IF('Data input'!Q42="","Min",MIN('Data input'!Q42:U42))</f>
        <v>7.2</v>
      </c>
      <c r="N37" s="290" t="s">
        <v>301</v>
      </c>
      <c r="O37" s="293">
        <f>IF('Data input'!Q42="","Max",MAX('Data input'!Q42:U42))</f>
        <v>11.1</v>
      </c>
      <c r="AZ37" s="106"/>
    </row>
    <row r="38" spans="1:52" x14ac:dyDescent="0.25">
      <c r="A38" s="1"/>
      <c r="B38" s="480" t="s">
        <v>30</v>
      </c>
      <c r="C38" s="481"/>
      <c r="D38" s="615" t="str">
        <f>'Data input'!D44</f>
        <v xml:space="preserve">€ / </v>
      </c>
      <c r="E38" s="392" t="str">
        <f>IF('Data input'!E44="Please select based on chosen Functional Unit"," ",'Data input'!E44)</f>
        <v>kWh</v>
      </c>
      <c r="F38" s="392"/>
      <c r="G38" s="533">
        <f>'Data input'!G44</f>
        <v>9.5999999999999992E-3</v>
      </c>
      <c r="H38" s="534"/>
      <c r="I38" s="534"/>
      <c r="J38" s="534">
        <f>'Data input'!L44</f>
        <v>9.1999999999999998E-3</v>
      </c>
      <c r="K38" s="534"/>
      <c r="L38" s="534"/>
      <c r="M38" s="534">
        <f>'Data input'!Q44</f>
        <v>8.2000000000000007E-3</v>
      </c>
      <c r="N38" s="534"/>
      <c r="O38" s="535"/>
      <c r="AZ38" s="106"/>
    </row>
    <row r="39" spans="1:52" ht="16.5" thickBot="1" x14ac:dyDescent="0.3">
      <c r="A39" s="1"/>
      <c r="B39" s="524"/>
      <c r="C39" s="525"/>
      <c r="D39" s="647"/>
      <c r="E39" s="634"/>
      <c r="F39" s="634"/>
      <c r="G39" s="305">
        <f>IF('Data input'!G44="","Min",MIN('Data input'!G44:K44))</f>
        <v>8.6999999999999994E-3</v>
      </c>
      <c r="H39" s="306" t="s">
        <v>301</v>
      </c>
      <c r="I39" s="307">
        <f>IF('Data input'!G44="","Max",MAX('Data input'!G44:K44))</f>
        <v>1.06E-2</v>
      </c>
      <c r="J39" s="308">
        <f>IF('Data input'!L44="","Min",MIN('Data input'!L44:P44))</f>
        <v>7.4999999999999997E-3</v>
      </c>
      <c r="K39" s="306" t="s">
        <v>301</v>
      </c>
      <c r="L39" s="307">
        <f>IF('Data input'!L44="","Max",MAX('Data input'!L44:P44))</f>
        <v>1.09E-2</v>
      </c>
      <c r="M39" s="308">
        <f>IF('Data input'!Q44="","Min",MIN('Data input'!Q44:U44))</f>
        <v>6.6E-3</v>
      </c>
      <c r="N39" s="306" t="s">
        <v>301</v>
      </c>
      <c r="O39" s="309">
        <f>IF('Data input'!Q44="","Max",MAX('Data input'!Q44:U44))</f>
        <v>1.01E-2</v>
      </c>
      <c r="AZ39" s="106"/>
    </row>
    <row r="40" spans="1:52" ht="48" thickBot="1" x14ac:dyDescent="0.3">
      <c r="A40" s="1"/>
      <c r="B40" s="526" t="s">
        <v>258</v>
      </c>
      <c r="C40" s="527"/>
      <c r="D40" s="530" t="str">
        <f>IF('Data input'!D46="Explain here (e.g. other costs)"," ",'Data input'!D46)</f>
        <v>For the year 2020 reference is made to PBL (2021b), which assesses in detail the costs of Dutch onshore wind power projects. The projection towards 2030 and 2050 is made based on multiple scenarios assessed in IRENA (2019), Ecofys (2018) and JRC (2018). The minimum and maximum values have been based on data ranges observed in WindEurope (2021).</v>
      </c>
      <c r="E40" s="531"/>
      <c r="F40" s="531"/>
      <c r="G40" s="531"/>
      <c r="H40" s="531"/>
      <c r="I40" s="531"/>
      <c r="J40" s="531"/>
      <c r="K40" s="531"/>
      <c r="L40" s="531"/>
      <c r="M40" s="531"/>
      <c r="N40" s="531"/>
      <c r="O40" s="532"/>
      <c r="AZ40" s="106" t="str">
        <f>D40</f>
        <v>For the year 2020 reference is made to PBL (2021b), which assesses in detail the costs of Dutch onshore wind power projects. The projection towards 2030 and 2050 is made based on multiple scenarios assessed in IRENA (2019), Ecofys (2018) and JRC (2018). The minimum and maximum values have been based on data ranges observed in WindEurope (2021).</v>
      </c>
    </row>
    <row r="41" spans="1:52" ht="16.5" thickBot="1" x14ac:dyDescent="0.3">
      <c r="A41" s="1"/>
      <c r="B41" s="528" t="s">
        <v>3</v>
      </c>
      <c r="C41" s="529"/>
      <c r="D41" s="502"/>
      <c r="E41" s="502"/>
      <c r="F41" s="502"/>
      <c r="G41" s="502"/>
      <c r="H41" s="502"/>
      <c r="I41" s="502"/>
      <c r="J41" s="502"/>
      <c r="K41" s="502"/>
      <c r="L41" s="502"/>
      <c r="M41" s="502"/>
      <c r="N41" s="502"/>
      <c r="O41" s="503"/>
      <c r="AZ41" s="106"/>
    </row>
    <row r="42" spans="1:52" x14ac:dyDescent="0.25">
      <c r="A42" s="1"/>
      <c r="B42" s="480" t="s">
        <v>262</v>
      </c>
      <c r="C42" s="481"/>
      <c r="D42" s="600" t="s">
        <v>261</v>
      </c>
      <c r="E42" s="637"/>
      <c r="F42" s="237" t="s">
        <v>0</v>
      </c>
      <c r="G42" s="484" t="s">
        <v>300</v>
      </c>
      <c r="H42" s="485"/>
      <c r="I42" s="485"/>
      <c r="J42" s="485">
        <v>2030</v>
      </c>
      <c r="K42" s="485"/>
      <c r="L42" s="485"/>
      <c r="M42" s="485">
        <v>2050</v>
      </c>
      <c r="N42" s="485"/>
      <c r="O42" s="498"/>
      <c r="AZ42" s="106"/>
    </row>
    <row r="43" spans="1:52" x14ac:dyDescent="0.25">
      <c r="A43" s="1"/>
      <c r="B43" s="482"/>
      <c r="C43" s="483"/>
      <c r="D43" s="654" t="s">
        <v>303</v>
      </c>
      <c r="E43" s="655"/>
      <c r="F43" s="512" t="s">
        <v>31</v>
      </c>
      <c r="G43" s="491">
        <f>'Data input'!G50</f>
        <v>-1</v>
      </c>
      <c r="H43" s="492"/>
      <c r="I43" s="492"/>
      <c r="J43" s="492">
        <f>'Data input'!L50</f>
        <v>-1</v>
      </c>
      <c r="K43" s="492"/>
      <c r="L43" s="492"/>
      <c r="M43" s="492">
        <f>'Data input'!Q50</f>
        <v>-1</v>
      </c>
      <c r="N43" s="492"/>
      <c r="O43" s="500"/>
      <c r="P43" s="79"/>
      <c r="AZ43" s="106"/>
    </row>
    <row r="44" spans="1:52" x14ac:dyDescent="0.25">
      <c r="A44" s="1"/>
      <c r="B44" s="482"/>
      <c r="C44" s="483"/>
      <c r="D44" s="652" t="str">
        <f>IF('Data input'!D50="Please select main output here"," ",'Data input'!D50)</f>
        <v>Electricity</v>
      </c>
      <c r="E44" s="653"/>
      <c r="F44" s="514"/>
      <c r="G44" s="266">
        <f>IF('Data input'!G50="","Min",MIN('Data input'!G50:K50))</f>
        <v>-1</v>
      </c>
      <c r="H44" s="253" t="s">
        <v>301</v>
      </c>
      <c r="I44" s="267">
        <f>IF('Data input'!G50="","Max",MAX('Data input'!G50:K50))</f>
        <v>-1</v>
      </c>
      <c r="J44" s="268">
        <f>IF('Data input'!L50="","Min",MIN('Data input'!L50:P50))</f>
        <v>-1</v>
      </c>
      <c r="K44" s="253" t="s">
        <v>301</v>
      </c>
      <c r="L44" s="267">
        <f>IF('Data input'!L50="","Max",MAX('Data input'!L50:P50))</f>
        <v>-1</v>
      </c>
      <c r="M44" s="268">
        <f>IF('Data input'!Q50="","Min",MIN('Data input'!Q50:U50))</f>
        <v>-1</v>
      </c>
      <c r="N44" s="253" t="s">
        <v>301</v>
      </c>
      <c r="O44" s="269">
        <f>IF('Data input'!Q50="","Max",MAX('Data input'!Q50:U50))</f>
        <v>-1</v>
      </c>
      <c r="AZ44" s="106"/>
    </row>
    <row r="45" spans="1:52" x14ac:dyDescent="0.25">
      <c r="A45" s="1"/>
      <c r="B45" s="482"/>
      <c r="C45" s="483"/>
      <c r="D45" s="638" t="str">
        <f>IF('Data input'!D52="Please select"," ",'Data input'!D52)</f>
        <v>Wind energy</v>
      </c>
      <c r="E45" s="639"/>
      <c r="F45" s="383" t="s">
        <v>31</v>
      </c>
      <c r="G45" s="491">
        <f>'Data input'!G52</f>
        <v>1</v>
      </c>
      <c r="H45" s="492"/>
      <c r="I45" s="492"/>
      <c r="J45" s="492">
        <f>'Data input'!L52</f>
        <v>1</v>
      </c>
      <c r="K45" s="492"/>
      <c r="L45" s="492"/>
      <c r="M45" s="492">
        <f>'Data input'!Q52</f>
        <v>1</v>
      </c>
      <c r="N45" s="492"/>
      <c r="O45" s="500"/>
      <c r="AZ45" s="106"/>
    </row>
    <row r="46" spans="1:52" x14ac:dyDescent="0.25">
      <c r="A46" s="1"/>
      <c r="B46" s="482"/>
      <c r="C46" s="483"/>
      <c r="D46" s="640"/>
      <c r="E46" s="641"/>
      <c r="F46" s="636"/>
      <c r="G46" s="266">
        <f>IF('Data input'!G52="","Min",MIN('Data input'!G52:K52))</f>
        <v>1</v>
      </c>
      <c r="H46" s="253" t="s">
        <v>301</v>
      </c>
      <c r="I46" s="267">
        <f>IF('Data input'!G52="","Max",MAX('Data input'!G52:K52))</f>
        <v>1</v>
      </c>
      <c r="J46" s="268">
        <f>IF('Data input'!L52="","Min",MIN('Data input'!L52:P52))</f>
        <v>1</v>
      </c>
      <c r="K46" s="253" t="s">
        <v>301</v>
      </c>
      <c r="L46" s="267">
        <f>IF('Data input'!L52="","Max",MAX('Data input'!L52:P52))</f>
        <v>1</v>
      </c>
      <c r="M46" s="268">
        <f>IF('Data input'!Q52="","Min",MIN('Data input'!Q52:U52))</f>
        <v>1</v>
      </c>
      <c r="N46" s="253" t="s">
        <v>301</v>
      </c>
      <c r="O46" s="269">
        <f>IF('Data input'!Q52="","Max",MAX('Data input'!Q52:U52))</f>
        <v>1</v>
      </c>
      <c r="AZ46" s="106"/>
    </row>
    <row r="47" spans="1:52" x14ac:dyDescent="0.25">
      <c r="A47" s="1"/>
      <c r="B47" s="482"/>
      <c r="C47" s="483"/>
      <c r="D47" s="642" t="str">
        <f>IF('Data input'!D54="Please select"," ",'Data input'!D54)</f>
        <v xml:space="preserve"> </v>
      </c>
      <c r="E47" s="643"/>
      <c r="F47" s="383" t="s">
        <v>31</v>
      </c>
      <c r="G47" s="491">
        <f>'Data input'!G54</f>
        <v>0</v>
      </c>
      <c r="H47" s="492"/>
      <c r="I47" s="492"/>
      <c r="J47" s="492">
        <f>'Data input'!L54</f>
        <v>0</v>
      </c>
      <c r="K47" s="492"/>
      <c r="L47" s="492"/>
      <c r="M47" s="492">
        <f>'Data input'!Q54</f>
        <v>0</v>
      </c>
      <c r="N47" s="492"/>
      <c r="O47" s="500"/>
      <c r="AZ47" s="106"/>
    </row>
    <row r="48" spans="1:52" x14ac:dyDescent="0.25">
      <c r="A48" s="1"/>
      <c r="B48" s="482"/>
      <c r="C48" s="483"/>
      <c r="D48" s="640"/>
      <c r="E48" s="641"/>
      <c r="F48" s="636"/>
      <c r="G48" s="266" t="str">
        <f>IF('Data input'!G54="","Min",MIN('Data input'!G54:K54))</f>
        <v>Min</v>
      </c>
      <c r="H48" s="253" t="s">
        <v>301</v>
      </c>
      <c r="I48" s="267" t="str">
        <f>IF('Data input'!G54="","Max",MAX('Data input'!G54:K54))</f>
        <v>Max</v>
      </c>
      <c r="J48" s="268" t="str">
        <f>IF('Data input'!L54="","Min",MIN('Data input'!L54:P54))</f>
        <v>Min</v>
      </c>
      <c r="K48" s="253" t="s">
        <v>301</v>
      </c>
      <c r="L48" s="267" t="str">
        <f>IF('Data input'!L54="","Max",MAX('Data input'!L54:P54))</f>
        <v>Max</v>
      </c>
      <c r="M48" s="268" t="str">
        <f>IF('Data input'!Q54="","Min",MIN('Data input'!Q54:U54))</f>
        <v>Min</v>
      </c>
      <c r="N48" s="253" t="s">
        <v>301</v>
      </c>
      <c r="O48" s="269" t="str">
        <f>IF('Data input'!Q54="","Max",MAX('Data input'!Q54:U54))</f>
        <v>Max</v>
      </c>
      <c r="AZ48" s="106"/>
    </row>
    <row r="49" spans="1:52" x14ac:dyDescent="0.25">
      <c r="A49" s="1"/>
      <c r="B49" s="482"/>
      <c r="C49" s="483"/>
      <c r="D49" s="642" t="str">
        <f>IF('Data input'!D56="Please select"," ",'Data input'!D56)</f>
        <v xml:space="preserve"> </v>
      </c>
      <c r="E49" s="643"/>
      <c r="F49" s="383" t="s">
        <v>31</v>
      </c>
      <c r="G49" s="491">
        <f>'Data input'!G56</f>
        <v>0</v>
      </c>
      <c r="H49" s="492"/>
      <c r="I49" s="492"/>
      <c r="J49" s="492">
        <f>'Data input'!L56</f>
        <v>0</v>
      </c>
      <c r="K49" s="492"/>
      <c r="L49" s="492"/>
      <c r="M49" s="492">
        <f>'Data input'!Q56</f>
        <v>0</v>
      </c>
      <c r="N49" s="492"/>
      <c r="O49" s="500"/>
      <c r="AZ49" s="106"/>
    </row>
    <row r="50" spans="1:52" ht="16.5" thickBot="1" x14ac:dyDescent="0.3">
      <c r="A50" s="1"/>
      <c r="B50" s="482"/>
      <c r="C50" s="483"/>
      <c r="D50" s="644"/>
      <c r="E50" s="645"/>
      <c r="F50" s="646"/>
      <c r="G50" s="263" t="str">
        <f>IF('Data input'!G56="","Min",MIN('Data input'!G56:K56))</f>
        <v>Min</v>
      </c>
      <c r="H50" s="252" t="s">
        <v>301</v>
      </c>
      <c r="I50" s="264" t="str">
        <f>IF('Data input'!G56="","Max",MAX('Data input'!G56:K56))</f>
        <v>Max</v>
      </c>
      <c r="J50" s="270" t="str">
        <f>IF('Data input'!L56="","Min",MIN('Data input'!L56:P56))</f>
        <v>Min</v>
      </c>
      <c r="K50" s="252" t="s">
        <v>301</v>
      </c>
      <c r="L50" s="264" t="str">
        <f>IF('Data input'!L56="","Max",MAX('Data input'!L56:P56))</f>
        <v>Max</v>
      </c>
      <c r="M50" s="270" t="str">
        <f>IF('Data input'!Q56="","Min",MIN('Data input'!Q56:U56))</f>
        <v>Min</v>
      </c>
      <c r="N50" s="252" t="s">
        <v>301</v>
      </c>
      <c r="O50" s="265" t="str">
        <f>IF('Data input'!Q56="","Max",MAX('Data input'!Q56:U56))</f>
        <v>Max</v>
      </c>
      <c r="AZ50" s="106"/>
    </row>
    <row r="51" spans="1:52" ht="16.5" thickBot="1" x14ac:dyDescent="0.3">
      <c r="A51" s="1"/>
      <c r="B51" s="480" t="s">
        <v>265</v>
      </c>
      <c r="C51" s="505"/>
      <c r="D51" s="506" t="str">
        <f>IF('Data input'!D58="Explain here (e.g. flexible in and out)"," ",'Data input'!D58)</f>
        <v xml:space="preserve"> </v>
      </c>
      <c r="E51" s="507"/>
      <c r="F51" s="507"/>
      <c r="G51" s="507"/>
      <c r="H51" s="507"/>
      <c r="I51" s="507"/>
      <c r="J51" s="507"/>
      <c r="K51" s="507"/>
      <c r="L51" s="507"/>
      <c r="M51" s="507"/>
      <c r="N51" s="507"/>
      <c r="O51" s="508"/>
      <c r="AZ51" s="106" t="str">
        <f>D51</f>
        <v xml:space="preserve"> </v>
      </c>
    </row>
    <row r="52" spans="1:52" ht="16.5" thickBot="1" x14ac:dyDescent="0.3">
      <c r="A52" s="1"/>
      <c r="B52" s="476" t="s">
        <v>4</v>
      </c>
      <c r="C52" s="477"/>
      <c r="D52" s="478"/>
      <c r="E52" s="478"/>
      <c r="F52" s="478"/>
      <c r="G52" s="478"/>
      <c r="H52" s="478"/>
      <c r="I52" s="478"/>
      <c r="J52" s="478"/>
      <c r="K52" s="478"/>
      <c r="L52" s="478"/>
      <c r="M52" s="478"/>
      <c r="N52" s="478"/>
      <c r="O52" s="479"/>
      <c r="AZ52" s="106"/>
    </row>
    <row r="53" spans="1:52" x14ac:dyDescent="0.25">
      <c r="A53" s="1"/>
      <c r="B53" s="480" t="s">
        <v>267</v>
      </c>
      <c r="C53" s="481"/>
      <c r="D53" s="484" t="s">
        <v>268</v>
      </c>
      <c r="E53" s="485"/>
      <c r="F53" s="237" t="s">
        <v>0</v>
      </c>
      <c r="G53" s="484" t="s">
        <v>300</v>
      </c>
      <c r="H53" s="485"/>
      <c r="I53" s="485"/>
      <c r="J53" s="485">
        <v>2030</v>
      </c>
      <c r="K53" s="485"/>
      <c r="L53" s="485"/>
      <c r="M53" s="485">
        <v>2050</v>
      </c>
      <c r="N53" s="485"/>
      <c r="O53" s="498"/>
      <c r="AZ53" s="106"/>
    </row>
    <row r="54" spans="1:52" x14ac:dyDescent="0.25">
      <c r="A54" s="1"/>
      <c r="B54" s="482"/>
      <c r="C54" s="483"/>
      <c r="D54" s="486" t="str">
        <f>IF('Data input'!D62="Specify here"," ",'Data input'!D62)</f>
        <v xml:space="preserve"> </v>
      </c>
      <c r="E54" s="487"/>
      <c r="F54" s="496" t="str">
        <f>IF('Data input'!F62="Specify here"," ",'Data input'!F62)</f>
        <v xml:space="preserve"> </v>
      </c>
      <c r="G54" s="491">
        <f>'Data input'!G62</f>
        <v>0</v>
      </c>
      <c r="H54" s="492"/>
      <c r="I54" s="492"/>
      <c r="J54" s="492">
        <f>'Data input'!L62</f>
        <v>0</v>
      </c>
      <c r="K54" s="492"/>
      <c r="L54" s="492"/>
      <c r="M54" s="492">
        <f>'Data input'!Q62</f>
        <v>0</v>
      </c>
      <c r="N54" s="492"/>
      <c r="O54" s="500"/>
      <c r="AZ54" s="106"/>
    </row>
    <row r="55" spans="1:52" x14ac:dyDescent="0.25">
      <c r="A55" s="1"/>
      <c r="B55" s="482"/>
      <c r="C55" s="483"/>
      <c r="D55" s="486"/>
      <c r="E55" s="487"/>
      <c r="F55" s="496"/>
      <c r="G55" s="266" t="str">
        <f>IF('Data input'!G62="","Min",MIN('Data input'!G62:K62))</f>
        <v>Min</v>
      </c>
      <c r="H55" s="253" t="s">
        <v>301</v>
      </c>
      <c r="I55" s="267" t="str">
        <f>IF('Data input'!G62="","Max",MAX('Data input'!G62:K62))</f>
        <v>Max</v>
      </c>
      <c r="J55" s="268" t="str">
        <f>IF('Data input'!L62="","Min",MIN('Data input'!L62:P62))</f>
        <v>Min</v>
      </c>
      <c r="K55" s="253" t="s">
        <v>301</v>
      </c>
      <c r="L55" s="267" t="str">
        <f>IF('Data input'!L62="","Max",MAX('Data input'!L62:P62))</f>
        <v>Max</v>
      </c>
      <c r="M55" s="268" t="str">
        <f>IF('Data input'!Q62="","Min",MIN('Data input'!Q62:U62))</f>
        <v>Min</v>
      </c>
      <c r="N55" s="253" t="s">
        <v>301</v>
      </c>
      <c r="O55" s="269" t="str">
        <f>IF('Data input'!Q62="","Max",MAX('Data input'!Q62:U62))</f>
        <v>Max</v>
      </c>
      <c r="AZ55" s="106"/>
    </row>
    <row r="56" spans="1:52" x14ac:dyDescent="0.25">
      <c r="A56" s="1"/>
      <c r="B56" s="482"/>
      <c r="C56" s="483"/>
      <c r="D56" s="486" t="str">
        <f>IF('Data input'!D64="Specify here"," ",'Data input'!D64)</f>
        <v xml:space="preserve"> </v>
      </c>
      <c r="E56" s="487"/>
      <c r="F56" s="496" t="str">
        <f>IF('Data input'!F64="Specify here"," ",'Data input'!F64)</f>
        <v xml:space="preserve"> </v>
      </c>
      <c r="G56" s="491">
        <f>'Data input'!G64</f>
        <v>0</v>
      </c>
      <c r="H56" s="492"/>
      <c r="I56" s="492"/>
      <c r="J56" s="492">
        <f>'Data input'!L64</f>
        <v>0</v>
      </c>
      <c r="K56" s="492"/>
      <c r="L56" s="492"/>
      <c r="M56" s="492">
        <f>'Data input'!Q64</f>
        <v>0</v>
      </c>
      <c r="N56" s="492"/>
      <c r="O56" s="500"/>
      <c r="AZ56" s="106"/>
    </row>
    <row r="57" spans="1:52" ht="16.5" thickBot="1" x14ac:dyDescent="0.3">
      <c r="A57" s="1"/>
      <c r="B57" s="482"/>
      <c r="C57" s="483"/>
      <c r="D57" s="488"/>
      <c r="E57" s="489"/>
      <c r="F57" s="497"/>
      <c r="G57" s="263" t="str">
        <f>IF('Data input'!G64="","Min",MIN('Data input'!G64:K64))</f>
        <v>Min</v>
      </c>
      <c r="H57" s="252" t="s">
        <v>301</v>
      </c>
      <c r="I57" s="264" t="str">
        <f>IF('Data input'!G64="","Max",MAX('Data input'!G64:K64))</f>
        <v>Max</v>
      </c>
      <c r="J57" s="270" t="str">
        <f>IF('Data input'!L64="","Min",MIN('Data input'!L64:P64))</f>
        <v>Min</v>
      </c>
      <c r="K57" s="252" t="s">
        <v>301</v>
      </c>
      <c r="L57" s="264" t="str">
        <f>IF('Data input'!L64="","Max",MAX('Data input'!L64:P64))</f>
        <v>Max</v>
      </c>
      <c r="M57" s="270" t="str">
        <f>IF('Data input'!Q64="","Min",MIN('Data input'!Q64:U64))</f>
        <v>Min</v>
      </c>
      <c r="N57" s="252" t="s">
        <v>301</v>
      </c>
      <c r="O57" s="265" t="str">
        <f>IF('Data input'!Q64="","Max",MAX('Data input'!Q64:U64))</f>
        <v>Max</v>
      </c>
      <c r="AZ57" s="106"/>
    </row>
    <row r="58" spans="1:52" ht="16.5" thickBot="1" x14ac:dyDescent="0.3">
      <c r="A58" s="1"/>
      <c r="B58" s="515" t="s">
        <v>269</v>
      </c>
      <c r="C58" s="516"/>
      <c r="D58" s="493" t="str">
        <f>IF('Data input'!D66="Explain here"," ",'Data input'!D66)</f>
        <v xml:space="preserve"> </v>
      </c>
      <c r="E58" s="494"/>
      <c r="F58" s="494"/>
      <c r="G58" s="494"/>
      <c r="H58" s="494"/>
      <c r="I58" s="494"/>
      <c r="J58" s="494"/>
      <c r="K58" s="494"/>
      <c r="L58" s="494"/>
      <c r="M58" s="494"/>
      <c r="N58" s="494"/>
      <c r="O58" s="495"/>
      <c r="AZ58" s="106" t="str">
        <f>D58</f>
        <v xml:space="preserve"> </v>
      </c>
    </row>
    <row r="59" spans="1:52" ht="16.5" thickBot="1" x14ac:dyDescent="0.3">
      <c r="A59" s="1"/>
      <c r="B59" s="476" t="s">
        <v>271</v>
      </c>
      <c r="C59" s="477"/>
      <c r="D59" s="478"/>
      <c r="E59" s="478"/>
      <c r="F59" s="478"/>
      <c r="G59" s="478"/>
      <c r="H59" s="478"/>
      <c r="I59" s="478"/>
      <c r="J59" s="478"/>
      <c r="K59" s="478"/>
      <c r="L59" s="478"/>
      <c r="M59" s="478"/>
      <c r="N59" s="478"/>
      <c r="O59" s="479"/>
      <c r="AZ59" s="106"/>
    </row>
    <row r="60" spans="1:52" x14ac:dyDescent="0.25">
      <c r="A60" s="1"/>
      <c r="B60" s="480" t="s">
        <v>5</v>
      </c>
      <c r="C60" s="481"/>
      <c r="D60" s="484" t="s">
        <v>272</v>
      </c>
      <c r="E60" s="485"/>
      <c r="F60" s="237" t="s">
        <v>0</v>
      </c>
      <c r="G60" s="484" t="s">
        <v>300</v>
      </c>
      <c r="H60" s="485"/>
      <c r="I60" s="485"/>
      <c r="J60" s="485">
        <v>2030</v>
      </c>
      <c r="K60" s="485"/>
      <c r="L60" s="485"/>
      <c r="M60" s="485">
        <v>2050</v>
      </c>
      <c r="N60" s="485"/>
      <c r="O60" s="498"/>
      <c r="AZ60" s="106"/>
    </row>
    <row r="61" spans="1:52" x14ac:dyDescent="0.25">
      <c r="A61" s="1"/>
      <c r="B61" s="482"/>
      <c r="C61" s="483"/>
      <c r="D61" s="486" t="str">
        <f>IF('Data input'!D70="Please select"," ",'Data input'!D70)</f>
        <v xml:space="preserve"> </v>
      </c>
      <c r="E61" s="487"/>
      <c r="F61" s="490" t="str">
        <f>IF('Data input'!F70="Please select"," ",'Data input'!F70)</f>
        <v xml:space="preserve"> </v>
      </c>
      <c r="G61" s="491">
        <f>'Data input'!G70</f>
        <v>0</v>
      </c>
      <c r="H61" s="492"/>
      <c r="I61" s="492"/>
      <c r="J61" s="492">
        <f>'Data input'!L70</f>
        <v>0</v>
      </c>
      <c r="K61" s="492"/>
      <c r="L61" s="492"/>
      <c r="M61" s="492">
        <f>'Data input'!Q70</f>
        <v>0</v>
      </c>
      <c r="N61" s="492"/>
      <c r="O61" s="500"/>
      <c r="AZ61" s="106"/>
    </row>
    <row r="62" spans="1:52" x14ac:dyDescent="0.25">
      <c r="A62" s="1"/>
      <c r="B62" s="482"/>
      <c r="C62" s="483"/>
      <c r="D62" s="486"/>
      <c r="E62" s="487"/>
      <c r="F62" s="490"/>
      <c r="G62" s="266" t="str">
        <f>IF('Data input'!G70="","Min",MIN('Data input'!G70:K70))</f>
        <v>Min</v>
      </c>
      <c r="H62" s="253" t="s">
        <v>301</v>
      </c>
      <c r="I62" s="267" t="str">
        <f>IF('Data input'!G70="","Max",MAX('Data input'!G70:K70))</f>
        <v>Max</v>
      </c>
      <c r="J62" s="268" t="str">
        <f>IF('Data input'!L70="","Min",MIN('Data input'!L70:P70))</f>
        <v>Min</v>
      </c>
      <c r="K62" s="253" t="s">
        <v>301</v>
      </c>
      <c r="L62" s="267" t="str">
        <f>IF('Data input'!L70="","Max",MAX('Data input'!L70:P70))</f>
        <v>Max</v>
      </c>
      <c r="M62" s="268" t="str">
        <f>IF('Data input'!Q70="","Min",MIN('Data input'!Q70:U70))</f>
        <v>Min</v>
      </c>
      <c r="N62" s="253" t="s">
        <v>301</v>
      </c>
      <c r="O62" s="269" t="str">
        <f>IF('Data input'!Q70="","Max",MAX('Data input'!Q70:U70))</f>
        <v>Max</v>
      </c>
      <c r="AZ62" s="106"/>
    </row>
    <row r="63" spans="1:52" x14ac:dyDescent="0.25">
      <c r="A63" s="1"/>
      <c r="B63" s="482"/>
      <c r="C63" s="483"/>
      <c r="D63" s="486" t="str">
        <f>IF('Data input'!D72="Please select"," ",'Data input'!D72)</f>
        <v xml:space="preserve"> </v>
      </c>
      <c r="E63" s="487"/>
      <c r="F63" s="490" t="str">
        <f>IF('Data input'!F72="Please select"," ",'Data input'!F72)</f>
        <v xml:space="preserve"> </v>
      </c>
      <c r="G63" s="491">
        <f>'Data input'!G72</f>
        <v>0</v>
      </c>
      <c r="H63" s="492"/>
      <c r="I63" s="492"/>
      <c r="J63" s="492">
        <f>'Data input'!L72</f>
        <v>0</v>
      </c>
      <c r="K63" s="492"/>
      <c r="L63" s="492"/>
      <c r="M63" s="492">
        <f>'Data input'!Q72</f>
        <v>0</v>
      </c>
      <c r="N63" s="492"/>
      <c r="O63" s="500"/>
      <c r="AZ63" s="106"/>
    </row>
    <row r="64" spans="1:52" x14ac:dyDescent="0.25">
      <c r="A64" s="1"/>
      <c r="B64" s="482"/>
      <c r="C64" s="483"/>
      <c r="D64" s="486"/>
      <c r="E64" s="487"/>
      <c r="F64" s="490"/>
      <c r="G64" s="266" t="str">
        <f>IF('Data input'!G72="","Min",MIN('Data input'!G72:K72))</f>
        <v>Min</v>
      </c>
      <c r="H64" s="253" t="s">
        <v>301</v>
      </c>
      <c r="I64" s="267" t="str">
        <f>IF('Data input'!G72="","Max",MAX('Data input'!G72:K72))</f>
        <v>Max</v>
      </c>
      <c r="J64" s="268" t="str">
        <f>IF('Data input'!L72="","Min",MIN('Data input'!L72:P72))</f>
        <v>Min</v>
      </c>
      <c r="K64" s="253" t="s">
        <v>301</v>
      </c>
      <c r="L64" s="267" t="str">
        <f>IF('Data input'!L72="","Max",MAX('Data input'!L72:P72))</f>
        <v>Max</v>
      </c>
      <c r="M64" s="268" t="str">
        <f>IF('Data input'!Q72="","Min",MIN('Data input'!Q72:U72))</f>
        <v>Min</v>
      </c>
      <c r="N64" s="253" t="s">
        <v>301</v>
      </c>
      <c r="O64" s="269" t="str">
        <f>IF('Data input'!Q72="","Max",MAX('Data input'!Q72:U72))</f>
        <v>Max</v>
      </c>
      <c r="AZ64" s="106"/>
    </row>
    <row r="65" spans="1:52" x14ac:dyDescent="0.25">
      <c r="A65" s="1"/>
      <c r="B65" s="482"/>
      <c r="C65" s="483"/>
      <c r="D65" s="486" t="str">
        <f>IF('Data input'!D74="Please select"," ",'Data input'!D74)</f>
        <v xml:space="preserve"> </v>
      </c>
      <c r="E65" s="487"/>
      <c r="F65" s="490" t="str">
        <f>IF('Data input'!F74="Please select"," ",'Data input'!F74)</f>
        <v xml:space="preserve"> </v>
      </c>
      <c r="G65" s="491">
        <f>'Data input'!G74</f>
        <v>0</v>
      </c>
      <c r="H65" s="492"/>
      <c r="I65" s="492"/>
      <c r="J65" s="492">
        <f>'Data input'!L74</f>
        <v>0</v>
      </c>
      <c r="K65" s="492"/>
      <c r="L65" s="492"/>
      <c r="M65" s="492">
        <f>'Data input'!Q74</f>
        <v>0</v>
      </c>
      <c r="N65" s="492"/>
      <c r="O65" s="500"/>
      <c r="AZ65" s="106"/>
    </row>
    <row r="66" spans="1:52" x14ac:dyDescent="0.25">
      <c r="A66" s="1"/>
      <c r="B66" s="482"/>
      <c r="C66" s="483"/>
      <c r="D66" s="486"/>
      <c r="E66" s="487"/>
      <c r="F66" s="490"/>
      <c r="G66" s="266" t="str">
        <f>IF('Data input'!G74="","Min",MIN('Data input'!G74:K74))</f>
        <v>Min</v>
      </c>
      <c r="H66" s="253" t="s">
        <v>301</v>
      </c>
      <c r="I66" s="267" t="str">
        <f>IF('Data input'!G74="","Max",MAX('Data input'!G74:K74))</f>
        <v>Max</v>
      </c>
      <c r="J66" s="268" t="str">
        <f>IF('Data input'!L74="","Min",MIN('Data input'!L74:P74))</f>
        <v>Min</v>
      </c>
      <c r="K66" s="253" t="s">
        <v>301</v>
      </c>
      <c r="L66" s="267" t="str">
        <f>IF('Data input'!L74="","Max",MAX('Data input'!L74:P74))</f>
        <v>Max</v>
      </c>
      <c r="M66" s="268" t="str">
        <f>IF('Data input'!Q74="","Min",MIN('Data input'!Q74:U74))</f>
        <v>Min</v>
      </c>
      <c r="N66" s="253" t="s">
        <v>301</v>
      </c>
      <c r="O66" s="269" t="str">
        <f>IF('Data input'!Q74="","Max",MAX('Data input'!Q74:U74))</f>
        <v>Max</v>
      </c>
      <c r="AZ66" s="106"/>
    </row>
    <row r="67" spans="1:52" x14ac:dyDescent="0.25">
      <c r="A67" s="1"/>
      <c r="B67" s="482"/>
      <c r="C67" s="483"/>
      <c r="D67" s="486" t="str">
        <f>IF('Data input'!D76="Please select"," ",'Data input'!D76)</f>
        <v xml:space="preserve"> </v>
      </c>
      <c r="E67" s="487"/>
      <c r="F67" s="490" t="str">
        <f>IF('Data input'!F76="Please select"," ",'Data input'!F76)</f>
        <v xml:space="preserve"> </v>
      </c>
      <c r="G67" s="491">
        <f>'Data input'!G76</f>
        <v>0</v>
      </c>
      <c r="H67" s="492"/>
      <c r="I67" s="492"/>
      <c r="J67" s="492">
        <f>'Data input'!L76</f>
        <v>0</v>
      </c>
      <c r="K67" s="492"/>
      <c r="L67" s="492"/>
      <c r="M67" s="492">
        <f>'Data input'!Q76</f>
        <v>0</v>
      </c>
      <c r="N67" s="492"/>
      <c r="O67" s="500"/>
      <c r="AZ67" s="106"/>
    </row>
    <row r="68" spans="1:52" ht="16.5" thickBot="1" x14ac:dyDescent="0.3">
      <c r="A68" s="1"/>
      <c r="B68" s="482"/>
      <c r="C68" s="483"/>
      <c r="D68" s="488"/>
      <c r="E68" s="489"/>
      <c r="F68" s="499"/>
      <c r="G68" s="263" t="str">
        <f>IF('Data input'!G76="","Min",MIN('Data input'!G76:K76))</f>
        <v>Min</v>
      </c>
      <c r="H68" s="252" t="s">
        <v>301</v>
      </c>
      <c r="I68" s="264" t="str">
        <f>IF('Data input'!G76="","Max",MAX('Data input'!G76:K76))</f>
        <v>Max</v>
      </c>
      <c r="J68" s="270" t="str">
        <f>IF('Data input'!L76="","Min",MIN('Data input'!L76:P76))</f>
        <v>Min</v>
      </c>
      <c r="K68" s="252" t="s">
        <v>301</v>
      </c>
      <c r="L68" s="264" t="str">
        <f>IF('Data input'!L76="","Max",MAX('Data input'!L76:P76))</f>
        <v>Max</v>
      </c>
      <c r="M68" s="270" t="str">
        <f>IF('Data input'!Q76="","Min",MIN('Data input'!Q76:U76))</f>
        <v>Min</v>
      </c>
      <c r="N68" s="252" t="s">
        <v>301</v>
      </c>
      <c r="O68" s="265" t="str">
        <f>IF('Data input'!Q76="","Max",MAX('Data input'!Q76:U76))</f>
        <v>Max</v>
      </c>
      <c r="AZ68" s="106"/>
    </row>
    <row r="69" spans="1:52" ht="16.5" thickBot="1" x14ac:dyDescent="0.3">
      <c r="A69" s="1"/>
      <c r="B69" s="480" t="s">
        <v>273</v>
      </c>
      <c r="C69" s="505"/>
      <c r="D69" s="506" t="str">
        <f>IF('Data input'!D78="Explain here (e.g. emission factors if calculated)"," ",'Data input'!D78)</f>
        <v xml:space="preserve"> </v>
      </c>
      <c r="E69" s="507"/>
      <c r="F69" s="507"/>
      <c r="G69" s="507"/>
      <c r="H69" s="507"/>
      <c r="I69" s="507"/>
      <c r="J69" s="507"/>
      <c r="K69" s="507"/>
      <c r="L69" s="507"/>
      <c r="M69" s="507"/>
      <c r="N69" s="507"/>
      <c r="O69" s="508"/>
      <c r="AZ69" s="106" t="str">
        <f>D69</f>
        <v xml:space="preserve"> </v>
      </c>
    </row>
    <row r="70" spans="1:52" ht="16.5" thickBot="1" x14ac:dyDescent="0.3">
      <c r="A70" s="1"/>
      <c r="B70" s="504" t="s">
        <v>7</v>
      </c>
      <c r="C70" s="478"/>
      <c r="D70" s="478"/>
      <c r="E70" s="478"/>
      <c r="F70" s="478"/>
      <c r="G70" s="478"/>
      <c r="H70" s="478"/>
      <c r="I70" s="478"/>
      <c r="J70" s="478"/>
      <c r="K70" s="478"/>
      <c r="L70" s="478"/>
      <c r="M70" s="478"/>
      <c r="N70" s="478"/>
      <c r="O70" s="479"/>
      <c r="AZ70" s="106"/>
    </row>
    <row r="71" spans="1:52" x14ac:dyDescent="0.25">
      <c r="A71" s="1"/>
      <c r="B71" s="656" t="s">
        <v>304</v>
      </c>
      <c r="C71" s="657"/>
      <c r="D71" s="484" t="s">
        <v>0</v>
      </c>
      <c r="E71" s="485"/>
      <c r="F71" s="523"/>
      <c r="G71" s="484" t="s">
        <v>300</v>
      </c>
      <c r="H71" s="485"/>
      <c r="I71" s="485"/>
      <c r="J71" s="485">
        <v>2030</v>
      </c>
      <c r="K71" s="485"/>
      <c r="L71" s="485"/>
      <c r="M71" s="485">
        <v>2050</v>
      </c>
      <c r="N71" s="485"/>
      <c r="O71" s="498"/>
      <c r="AZ71" s="106"/>
    </row>
    <row r="72" spans="1:52" x14ac:dyDescent="0.25">
      <c r="A72" s="1"/>
      <c r="B72" s="509" t="str">
        <f>IF('Data input'!B82="Add here"," ",'Data input'!B82)</f>
        <v xml:space="preserve"> </v>
      </c>
      <c r="C72" s="360"/>
      <c r="D72" s="520" t="str">
        <f>IF('Data input'!D82="Specify here"," ",'Data input'!D82)</f>
        <v xml:space="preserve"> </v>
      </c>
      <c r="E72" s="521"/>
      <c r="F72" s="522"/>
      <c r="G72" s="491">
        <f>'Data input'!G82</f>
        <v>0</v>
      </c>
      <c r="H72" s="492"/>
      <c r="I72" s="492"/>
      <c r="J72" s="492">
        <f>'Data input'!L82</f>
        <v>0</v>
      </c>
      <c r="K72" s="492"/>
      <c r="L72" s="492"/>
      <c r="M72" s="492">
        <f>'Data input'!Q82</f>
        <v>0</v>
      </c>
      <c r="N72" s="492"/>
      <c r="O72" s="500"/>
      <c r="AZ72" s="106"/>
    </row>
    <row r="73" spans="1:52" x14ac:dyDescent="0.25">
      <c r="A73" s="1"/>
      <c r="B73" s="509"/>
      <c r="C73" s="360"/>
      <c r="D73" s="520"/>
      <c r="E73" s="521"/>
      <c r="F73" s="522"/>
      <c r="G73" s="266" t="str">
        <f>IF('Data input'!G82="","Min",MIN('Data input'!G82:K82))</f>
        <v>Min</v>
      </c>
      <c r="H73" s="253" t="s">
        <v>301</v>
      </c>
      <c r="I73" s="267" t="str">
        <f>IF('Data input'!G82="","Max",MAX('Data input'!G82:K82))</f>
        <v>Max</v>
      </c>
      <c r="J73" s="268" t="str">
        <f>IF('Data input'!L82="","Min",MIN('Data input'!L82:P82))</f>
        <v>Min</v>
      </c>
      <c r="K73" s="253" t="s">
        <v>301</v>
      </c>
      <c r="L73" s="267" t="str">
        <f>IF('Data input'!L82="","Max",MAX('Data input'!L82:P82))</f>
        <v>Max</v>
      </c>
      <c r="M73" s="268" t="str">
        <f>IF('Data input'!Q82="","Min",MIN('Data input'!Q82:U82))</f>
        <v>Min</v>
      </c>
      <c r="N73" s="253" t="s">
        <v>301</v>
      </c>
      <c r="O73" s="269" t="str">
        <f>IF('Data input'!Q82="","Max",MAX('Data input'!Q82:U82))</f>
        <v>Max</v>
      </c>
      <c r="AZ73" s="106"/>
    </row>
    <row r="74" spans="1:52" x14ac:dyDescent="0.25">
      <c r="A74" s="1"/>
      <c r="B74" s="509" t="str">
        <f>IF('Data input'!B84="Add here"," ",'Data input'!B84)</f>
        <v xml:space="preserve"> </v>
      </c>
      <c r="C74" s="360"/>
      <c r="D74" s="511" t="str">
        <f>IF('Data input'!D84="Specify here"," ",'Data input'!D84)</f>
        <v xml:space="preserve"> </v>
      </c>
      <c r="E74" s="512"/>
      <c r="F74" s="512"/>
      <c r="G74" s="491">
        <f>'Data input'!G84</f>
        <v>0</v>
      </c>
      <c r="H74" s="492"/>
      <c r="I74" s="492"/>
      <c r="J74" s="492">
        <f>'Data input'!L84</f>
        <v>0</v>
      </c>
      <c r="K74" s="492"/>
      <c r="L74" s="492"/>
      <c r="M74" s="492">
        <f>'Data input'!Q84</f>
        <v>0</v>
      </c>
      <c r="N74" s="492"/>
      <c r="O74" s="500"/>
      <c r="AZ74" s="106"/>
    </row>
    <row r="75" spans="1:52" x14ac:dyDescent="0.25">
      <c r="A75" s="1"/>
      <c r="B75" s="509"/>
      <c r="C75" s="360"/>
      <c r="D75" s="513"/>
      <c r="E75" s="514"/>
      <c r="F75" s="514"/>
      <c r="G75" s="266" t="str">
        <f>IF('Data input'!G84="","Min",MIN('Data input'!G84:K84))</f>
        <v>Min</v>
      </c>
      <c r="H75" s="253" t="s">
        <v>301</v>
      </c>
      <c r="I75" s="267" t="str">
        <f>IF('Data input'!G84="","Max",MAX('Data input'!G84:K84))</f>
        <v>Max</v>
      </c>
      <c r="J75" s="268" t="str">
        <f>IF('Data input'!L84="","Min",MIN('Data input'!L84:P84))</f>
        <v>Min</v>
      </c>
      <c r="K75" s="253" t="s">
        <v>301</v>
      </c>
      <c r="L75" s="267" t="str">
        <f>IF('Data input'!L84="","Max",MAX('Data input'!L84:P84))</f>
        <v>Max</v>
      </c>
      <c r="M75" s="268" t="str">
        <f>IF('Data input'!Q84="","Min",MIN('Data input'!Q84:U84))</f>
        <v>Min</v>
      </c>
      <c r="N75" s="253" t="s">
        <v>301</v>
      </c>
      <c r="O75" s="269" t="str">
        <f>IF('Data input'!Q84="","Max",MAX('Data input'!Q84:U84))</f>
        <v>Max</v>
      </c>
      <c r="AZ75" s="106"/>
    </row>
    <row r="76" spans="1:52" x14ac:dyDescent="0.25">
      <c r="A76" s="1"/>
      <c r="B76" s="509" t="str">
        <f>IF('Data input'!B86="Add here"," ",'Data input'!B86)</f>
        <v xml:space="preserve"> </v>
      </c>
      <c r="C76" s="360"/>
      <c r="D76" s="511" t="str">
        <f>IF('Data input'!D86="Specify here"," ",'Data input'!D86)</f>
        <v xml:space="preserve"> </v>
      </c>
      <c r="E76" s="512"/>
      <c r="F76" s="512"/>
      <c r="G76" s="491">
        <f>'Data input'!G86</f>
        <v>0</v>
      </c>
      <c r="H76" s="492"/>
      <c r="I76" s="492"/>
      <c r="J76" s="492">
        <f>'Data input'!L86</f>
        <v>0</v>
      </c>
      <c r="K76" s="492"/>
      <c r="L76" s="492"/>
      <c r="M76" s="492">
        <f>'Data input'!Q86</f>
        <v>0</v>
      </c>
      <c r="N76" s="492"/>
      <c r="O76" s="500"/>
      <c r="AZ76" s="106"/>
    </row>
    <row r="77" spans="1:52" x14ac:dyDescent="0.25">
      <c r="A77" s="1"/>
      <c r="B77" s="509"/>
      <c r="C77" s="360"/>
      <c r="D77" s="513"/>
      <c r="E77" s="514"/>
      <c r="F77" s="514"/>
      <c r="G77" s="266" t="str">
        <f>IF('Data input'!G86="","Min",MIN('Data input'!G86:K86))</f>
        <v>Min</v>
      </c>
      <c r="H77" s="253" t="s">
        <v>301</v>
      </c>
      <c r="I77" s="267" t="str">
        <f>IF('Data input'!G86="","Max",MAX('Data input'!G86:K86))</f>
        <v>Max</v>
      </c>
      <c r="J77" s="268" t="str">
        <f>IF('Data input'!L86="","Min",MIN('Data input'!L86:P86))</f>
        <v>Min</v>
      </c>
      <c r="K77" s="253" t="s">
        <v>301</v>
      </c>
      <c r="L77" s="267" t="str">
        <f>IF('Data input'!L86="","Max",MAX('Data input'!L86:P86))</f>
        <v>Max</v>
      </c>
      <c r="M77" s="268" t="str">
        <f>IF('Data input'!Q86="","Min",MIN('Data input'!Q86:U86))</f>
        <v>Min</v>
      </c>
      <c r="N77" s="253" t="s">
        <v>301</v>
      </c>
      <c r="O77" s="269" t="str">
        <f>IF('Data input'!Q86="","Max",MAX('Data input'!Q86:U86))</f>
        <v>Max</v>
      </c>
      <c r="AZ77" s="106"/>
    </row>
    <row r="78" spans="1:52" x14ac:dyDescent="0.25">
      <c r="A78" s="1"/>
      <c r="B78" s="509" t="str">
        <f>IF('Data input'!B88="Add here"," ",'Data input'!B88)</f>
        <v xml:space="preserve"> </v>
      </c>
      <c r="C78" s="360"/>
      <c r="D78" s="511" t="str">
        <f>IF('Data input'!D88="Specify here"," ",'Data input'!D88)</f>
        <v xml:space="preserve"> </v>
      </c>
      <c r="E78" s="512"/>
      <c r="F78" s="512"/>
      <c r="G78" s="491">
        <f>'Data input'!G88</f>
        <v>0</v>
      </c>
      <c r="H78" s="492"/>
      <c r="I78" s="492"/>
      <c r="J78" s="492">
        <f>'Data input'!L88</f>
        <v>0</v>
      </c>
      <c r="K78" s="492"/>
      <c r="L78" s="492"/>
      <c r="M78" s="492">
        <f>'Data input'!Q88</f>
        <v>0</v>
      </c>
      <c r="N78" s="492"/>
      <c r="O78" s="500"/>
      <c r="AZ78" s="106"/>
    </row>
    <row r="79" spans="1:52" ht="16.5" thickBot="1" x14ac:dyDescent="0.3">
      <c r="A79" s="1"/>
      <c r="B79" s="510"/>
      <c r="C79" s="429"/>
      <c r="D79" s="513"/>
      <c r="E79" s="514"/>
      <c r="F79" s="514"/>
      <c r="G79" s="263" t="str">
        <f>IF('Data input'!G88="","Min",MIN('Data input'!G88:K88))</f>
        <v>Min</v>
      </c>
      <c r="H79" s="252" t="s">
        <v>301</v>
      </c>
      <c r="I79" s="264" t="str">
        <f>IF('Data input'!G88="","Max",MAX('Data input'!G88:K88))</f>
        <v>Max</v>
      </c>
      <c r="J79" s="270" t="str">
        <f>IF('Data input'!L88="","Min",MIN('Data input'!L88:P88))</f>
        <v>Min</v>
      </c>
      <c r="K79" s="252" t="s">
        <v>301</v>
      </c>
      <c r="L79" s="264" t="str">
        <f>IF('Data input'!L88="","Max",MAX('Data input'!L88:P88))</f>
        <v>Max</v>
      </c>
      <c r="M79" s="270" t="str">
        <f>IF('Data input'!Q88="","Min",MIN('Data input'!Q88:U88))</f>
        <v>Min</v>
      </c>
      <c r="N79" s="252" t="s">
        <v>301</v>
      </c>
      <c r="O79" s="265" t="str">
        <f>IF('Data input'!Q88="","Max",MAX('Data input'!Q88:U88))</f>
        <v>Max</v>
      </c>
      <c r="AZ79" s="106"/>
    </row>
    <row r="80" spans="1:52" ht="16.5" thickBot="1" x14ac:dyDescent="0.3">
      <c r="A80" s="1"/>
      <c r="B80" s="515" t="s">
        <v>277</v>
      </c>
      <c r="C80" s="516"/>
      <c r="D80" s="517" t="str">
        <f>IF('Data input'!D90="Explain here"," ",'Data input'!D90)</f>
        <v xml:space="preserve"> </v>
      </c>
      <c r="E80" s="518"/>
      <c r="F80" s="518"/>
      <c r="G80" s="518"/>
      <c r="H80" s="518"/>
      <c r="I80" s="518"/>
      <c r="J80" s="518"/>
      <c r="K80" s="518"/>
      <c r="L80" s="518"/>
      <c r="M80" s="518"/>
      <c r="N80" s="518"/>
      <c r="O80" s="519"/>
      <c r="AZ80" s="106" t="str">
        <f>D80</f>
        <v xml:space="preserve"> </v>
      </c>
    </row>
    <row r="81" spans="1:52" ht="16.5" thickBot="1" x14ac:dyDescent="0.3">
      <c r="A81" s="1"/>
      <c r="B81" s="501" t="s">
        <v>152</v>
      </c>
      <c r="C81" s="502"/>
      <c r="D81" s="502"/>
      <c r="E81" s="502"/>
      <c r="F81" s="502"/>
      <c r="G81" s="502"/>
      <c r="H81" s="502"/>
      <c r="I81" s="502"/>
      <c r="J81" s="502"/>
      <c r="K81" s="502"/>
      <c r="L81" s="502"/>
      <c r="M81" s="502"/>
      <c r="N81" s="502"/>
      <c r="O81" s="503"/>
      <c r="AZ81" s="106"/>
    </row>
    <row r="82" spans="1:52" ht="15.6" customHeight="1" x14ac:dyDescent="0.25">
      <c r="A82" s="1"/>
      <c r="B82" s="242">
        <f>IF('Data input'!B92="Specify complete references and data sources used here in order of importance (mostly used)"," ",'Data input'!B92)</f>
        <v>1</v>
      </c>
      <c r="C82" s="473" t="str">
        <f>IF('Data input'!C92="Specify complete references and data sources used here in order of importance (mostly used)"," ",'Data input'!C92)</f>
        <v>CBS 2021, Hernieuwbare elektriciteit; productie en vermogen, 2021 , https://www.cbs.nl/nl-nl/cijfers/detail/82610NED</v>
      </c>
      <c r="D82" s="473"/>
      <c r="E82" s="473"/>
      <c r="F82" s="473"/>
      <c r="G82" s="473"/>
      <c r="H82" s="473"/>
      <c r="I82" s="473"/>
      <c r="J82" s="473"/>
      <c r="K82" s="473"/>
      <c r="L82" s="473"/>
      <c r="M82" s="473"/>
      <c r="N82" s="473"/>
      <c r="O82" s="474"/>
      <c r="AZ82" s="106">
        <f>B82</f>
        <v>1</v>
      </c>
    </row>
    <row r="83" spans="1:52" ht="15.75" customHeight="1" x14ac:dyDescent="0.25">
      <c r="A83" s="1" t="s">
        <v>19</v>
      </c>
      <c r="B83" s="240">
        <f>IF('Data input'!B93="Specify complete references and data sources used here in order of importance (mostly used)"," ",'Data input'!B93)</f>
        <v>2</v>
      </c>
      <c r="C83" s="465" t="str">
        <f>IF('Data input'!C93="Specify complete references and data sources used here in order of importance (mostly used)"," ",'Data input'!C93)</f>
        <v>Global Wind Report 2021, GWEC, 2021, https://gwec.net/global-wind-report-2021</v>
      </c>
      <c r="D83" s="465"/>
      <c r="E83" s="465"/>
      <c r="F83" s="465"/>
      <c r="G83" s="465"/>
      <c r="H83" s="465"/>
      <c r="I83" s="465"/>
      <c r="J83" s="465"/>
      <c r="K83" s="465"/>
      <c r="L83" s="465"/>
      <c r="M83" s="465"/>
      <c r="N83" s="465"/>
      <c r="O83" s="475"/>
      <c r="AZ83" s="106">
        <f t="shared" ref="AZ83:AZ90" si="0">B83</f>
        <v>2</v>
      </c>
    </row>
    <row r="84" spans="1:52" ht="31.15" customHeight="1" x14ac:dyDescent="0.25">
      <c r="A84" s="1"/>
      <c r="B84" s="240">
        <f>IF('Data input'!B94="Specify complete references and data sources used here in order of importance (mostly used)"," ",'Data input'!B94)</f>
        <v>3</v>
      </c>
      <c r="C84" s="465" t="str">
        <f>IF('Data input'!C94="Specify complete references and data sources used here in order of importance (mostly used)"," ",'Data input'!C94)</f>
        <v>JRC 2018, Cost development of low carbon energy technologies: Scenario-based cost trajectories to 2050, 2017 edition, Tsiropoulos, I., Tarvydas, D. and Zucker, A., https://publications.jrc.ec.europa.eu/repository/handle/JRC109894</v>
      </c>
      <c r="D84" s="465"/>
      <c r="E84" s="465"/>
      <c r="F84" s="465"/>
      <c r="G84" s="465"/>
      <c r="H84" s="465"/>
      <c r="I84" s="465"/>
      <c r="J84" s="465"/>
      <c r="K84" s="465"/>
      <c r="L84" s="465"/>
      <c r="M84" s="465"/>
      <c r="N84" s="465"/>
      <c r="O84" s="475"/>
      <c r="AZ84" s="106">
        <f t="shared" si="0"/>
        <v>3</v>
      </c>
    </row>
    <row r="85" spans="1:52" ht="15.6" customHeight="1" x14ac:dyDescent="0.25">
      <c r="A85" s="1"/>
      <c r="B85" s="240">
        <f>IF('Data input'!B95="Specify complete references and data sources used here in order of importance (mostly used)"," ",'Data input'!B95)</f>
        <v>4</v>
      </c>
      <c r="C85" s="465" t="str">
        <f>IF('Data input'!C95="Specify complete references and data sources used here in order of importance (mostly used)"," ",'Data input'!C95)</f>
        <v>Quintel 2019, RES-regio's in het Energietransitiemodel, https://quintel.com/res (sourced August 2019)</v>
      </c>
      <c r="D85" s="465"/>
      <c r="E85" s="465"/>
      <c r="F85" s="465"/>
      <c r="G85" s="465"/>
      <c r="H85" s="465"/>
      <c r="I85" s="465"/>
      <c r="J85" s="465"/>
      <c r="K85" s="465"/>
      <c r="L85" s="465"/>
      <c r="M85" s="465"/>
      <c r="N85" s="465"/>
      <c r="O85" s="475"/>
      <c r="AZ85" s="106">
        <f t="shared" si="0"/>
        <v>4</v>
      </c>
    </row>
    <row r="86" spans="1:52" ht="15.6" customHeight="1" x14ac:dyDescent="0.25">
      <c r="A86" s="1"/>
      <c r="B86" s="240">
        <f>IF('Data input'!B96="Specify complete references and data sources used here in order of importance (mostly used)"," ",'Data input'!B96)</f>
        <v>5</v>
      </c>
      <c r="C86" s="465" t="str">
        <f>IF('Data input'!C96="Specify complete references and data sources used here in order of importance (mostly used)"," ",'Data input'!C96)</f>
        <v>Gasunie (2018), Verkenning 2050, Gasunie, 2018, https://www.gasunie.nl/expertise/aardgas/energiemix-2050</v>
      </c>
      <c r="D86" s="465"/>
      <c r="E86" s="465"/>
      <c r="F86" s="465"/>
      <c r="G86" s="465"/>
      <c r="H86" s="465"/>
      <c r="I86" s="465"/>
      <c r="J86" s="465"/>
      <c r="K86" s="465"/>
      <c r="L86" s="465"/>
      <c r="M86" s="465"/>
      <c r="N86" s="465"/>
      <c r="O86" s="475"/>
      <c r="AZ86" s="106">
        <f t="shared" si="0"/>
        <v>5</v>
      </c>
    </row>
    <row r="87" spans="1:52" ht="15.6" customHeight="1" x14ac:dyDescent="0.25">
      <c r="A87" s="1"/>
      <c r="B87" s="240">
        <f>IF('Data input'!B97="Specify complete references and data sources used here in order of importance (mostly used)"," ",'Data input'!B97)</f>
        <v>6</v>
      </c>
      <c r="C87" s="465" t="str">
        <f>IF('Data input'!C97="Specify complete references and data sources used here in order of importance (mostly used)"," ",'Data input'!C97)</f>
        <v xml:space="preserve">CE Delft (2017), Net voor de Toekomst, 2017, https://ce.nl/publicaties/net-voor-de-toekomst </v>
      </c>
      <c r="D87" s="465"/>
      <c r="E87" s="465"/>
      <c r="F87" s="465"/>
      <c r="G87" s="465"/>
      <c r="H87" s="465"/>
      <c r="I87" s="465"/>
      <c r="J87" s="465"/>
      <c r="K87" s="465"/>
      <c r="L87" s="465"/>
      <c r="M87" s="465"/>
      <c r="N87" s="465"/>
      <c r="O87" s="475"/>
      <c r="AZ87" s="106">
        <f t="shared" si="0"/>
        <v>6</v>
      </c>
    </row>
    <row r="88" spans="1:52" ht="31.15" customHeight="1" x14ac:dyDescent="0.25">
      <c r="A88" s="1"/>
      <c r="B88" s="240">
        <f>IF('Data input'!B98="Specify complete references and data sources used here in order of importance (mostly used)"," ",'Data input'!B98)</f>
        <v>7</v>
      </c>
      <c r="C88" s="465" t="str">
        <f>IF('Data input'!C98="Specify complete references and data sources used here in order of importance (mostly used)"," ",'Data input'!C98)</f>
        <v>Berenschot (2018), Het ‘warmtescenario’: Beelden van een op warmte gerichte energievoorziening in 2030 en 2050, Scenariostudie ten behoeve van het Klimaatakkoord, Eindrapport, Utrecht, september 2018, https://www.berenschot.nl/media/352kcpid/cases-het_warmtescenario.pdf</v>
      </c>
      <c r="D88" s="465"/>
      <c r="E88" s="465"/>
      <c r="F88" s="465"/>
      <c r="G88" s="465"/>
      <c r="H88" s="465"/>
      <c r="I88" s="465"/>
      <c r="J88" s="465"/>
      <c r="K88" s="465"/>
      <c r="L88" s="465"/>
      <c r="M88" s="465"/>
      <c r="N88" s="465"/>
      <c r="O88" s="475"/>
      <c r="AZ88" s="106">
        <f t="shared" si="0"/>
        <v>7</v>
      </c>
    </row>
    <row r="89" spans="1:52" ht="15.6" customHeight="1" x14ac:dyDescent="0.25">
      <c r="A89" s="1"/>
      <c r="B89" s="240">
        <f>IF('Data input'!B99="Specify complete references and data sources used here in order of importance (mostly used)"," ",'Data input'!B99)</f>
        <v>8</v>
      </c>
      <c r="C89" s="465" t="str">
        <f>IF('Data input'!C99="Specify complete references and data sources used here in order of importance (mostly used)"," ",'Data input'!C99)</f>
        <v>SER (2013) Energieakkoord voor duurzame groei, SER, 2013 https://www.ser.nl/nl/thema/energie-en-duurzaamheid/energieakkoord</v>
      </c>
      <c r="D89" s="465"/>
      <c r="E89" s="465"/>
      <c r="F89" s="465"/>
      <c r="G89" s="465"/>
      <c r="H89" s="465"/>
      <c r="I89" s="465"/>
      <c r="J89" s="465"/>
      <c r="K89" s="465"/>
      <c r="L89" s="465"/>
      <c r="M89" s="465"/>
      <c r="N89" s="465"/>
      <c r="O89" s="475"/>
      <c r="AZ89" s="106">
        <f t="shared" si="0"/>
        <v>8</v>
      </c>
    </row>
    <row r="90" spans="1:52" ht="16.149999999999999" customHeight="1" x14ac:dyDescent="0.25">
      <c r="A90" s="1"/>
      <c r="B90" s="240">
        <f>IF('Data input'!B100="Specify complete references and data sources used here in order of importance (mostly used)"," ",'Data input'!B100)</f>
        <v>9</v>
      </c>
      <c r="C90" s="466" t="str">
        <f>IF('Data input'!C100="Specify complete references and data sources used here in order of importance (mostly used)"," ",'Data input'!C100)</f>
        <v>RVO (2019), RVO, 2019, https://www.rijksoverheid.nl/documenten/rapporten/2020/06/26/bijlage-monitor-wind-op-land-2019</v>
      </c>
      <c r="D90" s="468"/>
      <c r="E90" s="468"/>
      <c r="F90" s="468"/>
      <c r="G90" s="468"/>
      <c r="H90" s="468"/>
      <c r="I90" s="468"/>
      <c r="J90" s="468"/>
      <c r="K90" s="468"/>
      <c r="L90" s="468"/>
      <c r="M90" s="468"/>
      <c r="N90" s="468"/>
      <c r="O90" s="469"/>
      <c r="AZ90" s="106">
        <f t="shared" si="0"/>
        <v>9</v>
      </c>
    </row>
    <row r="91" spans="1:52" ht="16.149999999999999" customHeight="1" x14ac:dyDescent="0.25">
      <c r="A91" s="1"/>
      <c r="B91" s="240">
        <f>IF('Data input'!B101="Specify complete references and data sources used here in order of importance (mostly used)"," ",'Data input'!B101)</f>
        <v>10</v>
      </c>
      <c r="C91" s="466" t="str">
        <f>IF('Data input'!C101="Specify complete references and data sources used here in order of importance (mostly used)"," ",'Data input'!C101)</f>
        <v>PBL (2021a) Monitor concept-RES, PBL, 2021, https://www.pbl.nl/publicaties/monitor-concept-res</v>
      </c>
      <c r="D91" s="468"/>
      <c r="E91" s="468"/>
      <c r="F91" s="468"/>
      <c r="G91" s="468"/>
      <c r="H91" s="468"/>
      <c r="I91" s="468"/>
      <c r="J91" s="468"/>
      <c r="K91" s="468"/>
      <c r="L91" s="468"/>
      <c r="M91" s="468"/>
      <c r="N91" s="468"/>
      <c r="O91" s="469"/>
      <c r="AZ91" s="106">
        <f t="shared" ref="AZ91:AZ96" si="1">B91</f>
        <v>10</v>
      </c>
    </row>
    <row r="92" spans="1:52" ht="16.149999999999999" customHeight="1" x14ac:dyDescent="0.25">
      <c r="A92" s="1"/>
      <c r="B92" s="240">
        <f>IF('Data input'!B102="Specify complete references and data sources used here in order of importance (mostly used)"," ",'Data input'!B102)</f>
        <v>11</v>
      </c>
      <c r="C92" s="466" t="str">
        <f>IF('Data input'!C102="Specify complete references and data sources used here in order of importance (mostly used)"," ",'Data input'!C102)</f>
        <v>RVO (2021), Windkaart windsnelheid per gemeente, RVO, februari 2021, https://www.rvo.nl/sites/default/files/2021/02/Windkaart%20windsnelheid%20per%20gemeente%20versie%20februari%202021.pdf</v>
      </c>
      <c r="D92" s="468"/>
      <c r="E92" s="468"/>
      <c r="F92" s="468"/>
      <c r="G92" s="468"/>
      <c r="H92" s="468"/>
      <c r="I92" s="468"/>
      <c r="J92" s="468"/>
      <c r="K92" s="468"/>
      <c r="L92" s="468"/>
      <c r="M92" s="468"/>
      <c r="N92" s="468"/>
      <c r="O92" s="469"/>
      <c r="AZ92" s="106">
        <f t="shared" si="1"/>
        <v>11</v>
      </c>
    </row>
    <row r="93" spans="1:52" ht="16.149999999999999" customHeight="1" x14ac:dyDescent="0.25">
      <c r="A93" s="1"/>
      <c r="B93" s="240">
        <f>IF('Data input'!B103="Specify complete references and data sources used here in order of importance (mostly used)"," ",'Data input'!B103)</f>
        <v>12</v>
      </c>
      <c r="C93" s="466" t="str">
        <f>IF('Data input'!C103="Specify complete references and data sources used here in order of importance (mostly used)"," ",'Data input'!C103)</f>
        <v xml:space="preserve">WindEurope (2021) Getting fit for 55 and set for 2050, Electrifying Europe with wind energy, ETIP Wind, WindEurope, June 2021, https://etipwind.eu/publications/getting-fit-for-55 </v>
      </c>
      <c r="D93" s="468"/>
      <c r="E93" s="468"/>
      <c r="F93" s="468"/>
      <c r="G93" s="468"/>
      <c r="H93" s="468"/>
      <c r="I93" s="468"/>
      <c r="J93" s="468"/>
      <c r="K93" s="468"/>
      <c r="L93" s="468"/>
      <c r="M93" s="468"/>
      <c r="N93" s="468"/>
      <c r="O93" s="469"/>
      <c r="AZ93" s="106">
        <f t="shared" si="1"/>
        <v>12</v>
      </c>
    </row>
    <row r="94" spans="1:52" ht="16.149999999999999" customHeight="1" x14ac:dyDescent="0.25">
      <c r="A94" s="1"/>
      <c r="B94" s="240">
        <f>IF('Data input'!B104="Specify complete references and data sources used here in order of importance (mostly used)"," ",'Data input'!B104)</f>
        <v>13</v>
      </c>
      <c r="C94" s="466" t="str">
        <f>IF('Data input'!C104="Specify complete references and data sources used here in order of importance (mostly used)"," ",'Data input'!C104)</f>
        <v>PBL (2021b) Eindadvies basisbedragen SDE++ 2021, PBL, 2021, https://www.pbl.nl/publicaties/eindadvies-basisbedragen-sde-plus-plus-2021</v>
      </c>
      <c r="D94" s="468"/>
      <c r="E94" s="468"/>
      <c r="F94" s="468"/>
      <c r="G94" s="468"/>
      <c r="H94" s="468"/>
      <c r="I94" s="468"/>
      <c r="J94" s="468"/>
      <c r="K94" s="468"/>
      <c r="L94" s="468"/>
      <c r="M94" s="468"/>
      <c r="N94" s="468"/>
      <c r="O94" s="469"/>
      <c r="AZ94" s="106">
        <f t="shared" si="1"/>
        <v>13</v>
      </c>
    </row>
    <row r="95" spans="1:52" ht="16.149999999999999" customHeight="1" x14ac:dyDescent="0.25">
      <c r="A95" s="1"/>
      <c r="B95" s="240">
        <f>IF('Data input'!B105="Specify complete references and data sources used here in order of importance (mostly used)"," ",'Data input'!B105)</f>
        <v>14</v>
      </c>
      <c r="C95" s="466" t="str">
        <f>IF('Data input'!C105="Specify complete references and data sources used here in order of importance (mostly used)"," ",'Data input'!C105)</f>
        <v>IRENA (2019) Future of wind, Deployment, investment, technology, grid integration and socio-economic  aspects, October 2019, IRENA, https://www.irena.org/publications/2019/Oct/Future-of-wind</v>
      </c>
      <c r="D95" s="468"/>
      <c r="E95" s="468"/>
      <c r="F95" s="468"/>
      <c r="G95" s="468"/>
      <c r="H95" s="468"/>
      <c r="I95" s="468"/>
      <c r="J95" s="468"/>
      <c r="K95" s="468"/>
      <c r="L95" s="468"/>
      <c r="M95" s="468"/>
      <c r="N95" s="468"/>
      <c r="O95" s="469"/>
      <c r="AZ95" s="106">
        <f t="shared" si="1"/>
        <v>14</v>
      </c>
    </row>
    <row r="96" spans="1:52" ht="16.149999999999999" customHeight="1" x14ac:dyDescent="0.25">
      <c r="A96" s="1"/>
      <c r="B96" s="240">
        <f>IF('Data input'!B106="Specify complete references and data sources used here in order of importance (mostly used)"," ",'Data input'!B106)</f>
        <v>15</v>
      </c>
      <c r="C96" s="466" t="str">
        <f>IF('Data input'!C106="Specify complete references and data sources used here in order of importance (mostly used)"," ",'Data input'!C106)</f>
        <v>Ecofys (2018), Kostprijs van zon-pv en wind in 2030, Ecofys, https://www.nvde.nl/wp-content/uploads/2018/06/NVDE_Kostendalingen-zon-PV-en-wind.pdf</v>
      </c>
      <c r="D96" s="468"/>
      <c r="E96" s="468"/>
      <c r="F96" s="468"/>
      <c r="G96" s="468"/>
      <c r="H96" s="468"/>
      <c r="I96" s="468"/>
      <c r="J96" s="468"/>
      <c r="K96" s="468"/>
      <c r="L96" s="468"/>
      <c r="M96" s="468"/>
      <c r="N96" s="468"/>
      <c r="O96" s="469"/>
      <c r="AZ96" s="106">
        <f t="shared" si="1"/>
        <v>15</v>
      </c>
    </row>
    <row r="97" spans="1:52" ht="16.149999999999999" customHeight="1" thickBot="1" x14ac:dyDescent="0.3">
      <c r="A97" s="1"/>
      <c r="B97" s="241">
        <f>IF('Data input'!B107="Specify complete references and data sources used here in order of importance (mostly used)"," ",'Data input'!B107)</f>
        <v>16</v>
      </c>
      <c r="C97" s="470">
        <f>IF('Data input'!C107="Specify complete references and data sources used here in order of importance (mostly used)"," ",'Data input'!C107)</f>
        <v>0</v>
      </c>
      <c r="D97" s="471"/>
      <c r="E97" s="471"/>
      <c r="F97" s="471"/>
      <c r="G97" s="471"/>
      <c r="H97" s="471"/>
      <c r="I97" s="471"/>
      <c r="J97" s="471"/>
      <c r="K97" s="471"/>
      <c r="L97" s="471"/>
      <c r="M97" s="471"/>
      <c r="N97" s="471"/>
      <c r="O97" s="472"/>
      <c r="AZ97" s="106">
        <f t="shared" ref="AZ97" si="2">B97</f>
        <v>16</v>
      </c>
    </row>
  </sheetData>
  <sheetProtection algorithmName="SHA-512" hashValue="1zR2hoWCeMJusdDNvKzjAQtgcreqj0OdPL+Rmr3UEr6TYSUdZ0n+iSnH9mV+qjfqqtIWQeGXEyGrO9NiRfPvlQ==" saltValue="YYuJ+5I+YKNvHicy5O9dNg==" spinCount="100000" sheet="1" objects="1" scenarios="1"/>
  <mergeCells count="208">
    <mergeCell ref="D51:O51"/>
    <mergeCell ref="M47:O47"/>
    <mergeCell ref="M43:O43"/>
    <mergeCell ref="J34:L34"/>
    <mergeCell ref="M34:O34"/>
    <mergeCell ref="E32:F33"/>
    <mergeCell ref="J74:L74"/>
    <mergeCell ref="M74:O74"/>
    <mergeCell ref="B76:C77"/>
    <mergeCell ref="D76:F77"/>
    <mergeCell ref="G76:I76"/>
    <mergeCell ref="B71:C71"/>
    <mergeCell ref="J76:L76"/>
    <mergeCell ref="J60:L60"/>
    <mergeCell ref="M60:O60"/>
    <mergeCell ref="D60:E60"/>
    <mergeCell ref="D61:E62"/>
    <mergeCell ref="F61:F62"/>
    <mergeCell ref="G61:I61"/>
    <mergeCell ref="J61:L61"/>
    <mergeCell ref="M61:O61"/>
    <mergeCell ref="D63:E64"/>
    <mergeCell ref="F63:F64"/>
    <mergeCell ref="D67:E68"/>
    <mergeCell ref="J32:L32"/>
    <mergeCell ref="B42:C50"/>
    <mergeCell ref="D45:E46"/>
    <mergeCell ref="D49:E50"/>
    <mergeCell ref="F49:F50"/>
    <mergeCell ref="G47:I47"/>
    <mergeCell ref="D38:D39"/>
    <mergeCell ref="B36:C37"/>
    <mergeCell ref="J47:L47"/>
    <mergeCell ref="B34:C35"/>
    <mergeCell ref="D44:E44"/>
    <mergeCell ref="D43:E43"/>
    <mergeCell ref="J45:L45"/>
    <mergeCell ref="D47:E48"/>
    <mergeCell ref="G34:I34"/>
    <mergeCell ref="D36:D37"/>
    <mergeCell ref="D34:D35"/>
    <mergeCell ref="E34:F35"/>
    <mergeCell ref="F47:F48"/>
    <mergeCell ref="M42:O42"/>
    <mergeCell ref="J43:L43"/>
    <mergeCell ref="M45:O45"/>
    <mergeCell ref="J36:L36"/>
    <mergeCell ref="M36:O36"/>
    <mergeCell ref="J42:L42"/>
    <mergeCell ref="F43:F44"/>
    <mergeCell ref="G43:I43"/>
    <mergeCell ref="G42:I42"/>
    <mergeCell ref="E38:F39"/>
    <mergeCell ref="G36:I36"/>
    <mergeCell ref="E36:F37"/>
    <mergeCell ref="F45:F46"/>
    <mergeCell ref="G45:I45"/>
    <mergeCell ref="D42:E42"/>
    <mergeCell ref="B26:C26"/>
    <mergeCell ref="G15:O15"/>
    <mergeCell ref="D30:O30"/>
    <mergeCell ref="B31:C33"/>
    <mergeCell ref="D31:F31"/>
    <mergeCell ref="G16:I16"/>
    <mergeCell ref="J16:L16"/>
    <mergeCell ref="M16:O16"/>
    <mergeCell ref="F17:F19"/>
    <mergeCell ref="D25:O25"/>
    <mergeCell ref="D23:O23"/>
    <mergeCell ref="D26:O26"/>
    <mergeCell ref="D32:D33"/>
    <mergeCell ref="B28:C28"/>
    <mergeCell ref="D27:O27"/>
    <mergeCell ref="B27:C27"/>
    <mergeCell ref="E24:O24"/>
    <mergeCell ref="L28:O28"/>
    <mergeCell ref="D28:K28"/>
    <mergeCell ref="D20:E21"/>
    <mergeCell ref="F20:F21"/>
    <mergeCell ref="B24:C24"/>
    <mergeCell ref="M31:O31"/>
    <mergeCell ref="G32:I32"/>
    <mergeCell ref="G14:O14"/>
    <mergeCell ref="D14:F14"/>
    <mergeCell ref="B14:C14"/>
    <mergeCell ref="B23:C23"/>
    <mergeCell ref="B22:C22"/>
    <mergeCell ref="M32:O32"/>
    <mergeCell ref="D22:O22"/>
    <mergeCell ref="B25:C25"/>
    <mergeCell ref="B15:C15"/>
    <mergeCell ref="B30:C30"/>
    <mergeCell ref="G17:I17"/>
    <mergeCell ref="J17:L17"/>
    <mergeCell ref="M17:O17"/>
    <mergeCell ref="G18:I18"/>
    <mergeCell ref="J18:L18"/>
    <mergeCell ref="M18:O18"/>
    <mergeCell ref="G20:I20"/>
    <mergeCell ref="J20:L20"/>
    <mergeCell ref="M20:O20"/>
    <mergeCell ref="D17:E19"/>
    <mergeCell ref="D15:F16"/>
    <mergeCell ref="B29:O29"/>
    <mergeCell ref="G31:I31"/>
    <mergeCell ref="J31:L31"/>
    <mergeCell ref="D12:O12"/>
    <mergeCell ref="B3:O3"/>
    <mergeCell ref="B4:C4"/>
    <mergeCell ref="D4:O4"/>
    <mergeCell ref="D7:O7"/>
    <mergeCell ref="B9:C9"/>
    <mergeCell ref="D9:O9"/>
    <mergeCell ref="B8:C8"/>
    <mergeCell ref="D8:O8"/>
    <mergeCell ref="B6:C6"/>
    <mergeCell ref="B7:C7"/>
    <mergeCell ref="D6:O6"/>
    <mergeCell ref="B10:C10"/>
    <mergeCell ref="D10:O10"/>
    <mergeCell ref="D11:O11"/>
    <mergeCell ref="B5:C5"/>
    <mergeCell ref="D5:O5"/>
    <mergeCell ref="B13:O13"/>
    <mergeCell ref="G54:I54"/>
    <mergeCell ref="J54:L54"/>
    <mergeCell ref="M54:O54"/>
    <mergeCell ref="G67:I67"/>
    <mergeCell ref="J67:L67"/>
    <mergeCell ref="M67:O67"/>
    <mergeCell ref="B38:C39"/>
    <mergeCell ref="G49:I49"/>
    <mergeCell ref="J49:L49"/>
    <mergeCell ref="M49:O49"/>
    <mergeCell ref="B40:C40"/>
    <mergeCell ref="B41:O41"/>
    <mergeCell ref="D40:O40"/>
    <mergeCell ref="G38:I38"/>
    <mergeCell ref="J38:L38"/>
    <mergeCell ref="M38:O38"/>
    <mergeCell ref="B58:C58"/>
    <mergeCell ref="M56:O56"/>
    <mergeCell ref="B52:O52"/>
    <mergeCell ref="B51:C51"/>
    <mergeCell ref="M65:O65"/>
    <mergeCell ref="D54:E55"/>
    <mergeCell ref="F54:F55"/>
    <mergeCell ref="B81:O81"/>
    <mergeCell ref="B70:O70"/>
    <mergeCell ref="G71:I71"/>
    <mergeCell ref="J71:L71"/>
    <mergeCell ref="M71:O71"/>
    <mergeCell ref="G72:I72"/>
    <mergeCell ref="J72:L72"/>
    <mergeCell ref="M72:O72"/>
    <mergeCell ref="B69:C69"/>
    <mergeCell ref="D69:O69"/>
    <mergeCell ref="M76:O76"/>
    <mergeCell ref="B78:C79"/>
    <mergeCell ref="D78:F79"/>
    <mergeCell ref="G78:I78"/>
    <mergeCell ref="J78:L78"/>
    <mergeCell ref="M78:O78"/>
    <mergeCell ref="B80:C80"/>
    <mergeCell ref="D80:O80"/>
    <mergeCell ref="B72:C73"/>
    <mergeCell ref="D72:F73"/>
    <mergeCell ref="D71:F71"/>
    <mergeCell ref="B74:C75"/>
    <mergeCell ref="D74:F75"/>
    <mergeCell ref="G74:I74"/>
    <mergeCell ref="B59:O59"/>
    <mergeCell ref="B60:C68"/>
    <mergeCell ref="G60:I60"/>
    <mergeCell ref="D56:E57"/>
    <mergeCell ref="D65:E66"/>
    <mergeCell ref="F65:F66"/>
    <mergeCell ref="G63:I63"/>
    <mergeCell ref="J63:L63"/>
    <mergeCell ref="B53:C57"/>
    <mergeCell ref="G53:I53"/>
    <mergeCell ref="J53:L53"/>
    <mergeCell ref="D58:O58"/>
    <mergeCell ref="F56:F57"/>
    <mergeCell ref="G56:I56"/>
    <mergeCell ref="J56:L56"/>
    <mergeCell ref="M53:O53"/>
    <mergeCell ref="D53:E53"/>
    <mergeCell ref="F67:F68"/>
    <mergeCell ref="G65:I65"/>
    <mergeCell ref="J65:L65"/>
    <mergeCell ref="M63:O63"/>
    <mergeCell ref="C91:O91"/>
    <mergeCell ref="C92:O92"/>
    <mergeCell ref="C93:O93"/>
    <mergeCell ref="C94:O94"/>
    <mergeCell ref="C95:O95"/>
    <mergeCell ref="C96:O96"/>
    <mergeCell ref="C97:O97"/>
    <mergeCell ref="C82:O82"/>
    <mergeCell ref="C83:O83"/>
    <mergeCell ref="C84:O84"/>
    <mergeCell ref="C85:O85"/>
    <mergeCell ref="C86:O86"/>
    <mergeCell ref="C87:O87"/>
    <mergeCell ref="C88:O88"/>
    <mergeCell ref="C89:O89"/>
    <mergeCell ref="C90:O90"/>
  </mergeCells>
  <conditionalFormatting sqref="D6:D9">
    <cfRule type="containsText" dxfId="407" priority="763" operator="containsText" text="Please select">
      <formula>NOT(ISERROR(SEARCH("Please select",D6)))</formula>
    </cfRule>
  </conditionalFormatting>
  <conditionalFormatting sqref="D10">
    <cfRule type="containsText" dxfId="406" priority="759" operator="containsText" text="Specify here">
      <formula>NOT(ISERROR(SEARCH("Specify here",D10)))</formula>
    </cfRule>
  </conditionalFormatting>
  <conditionalFormatting sqref="D4:O4 D5">
    <cfRule type="containsText" dxfId="405" priority="758" operator="containsText" text="DD-MM-YYYY">
      <formula>NOT(ISERROR(SEARCH("DD-MM-YYYY",D4)))</formula>
    </cfRule>
  </conditionalFormatting>
  <conditionalFormatting sqref="D11:O11">
    <cfRule type="containsText" dxfId="404" priority="755" operator="containsText" text="Select the observed or expected TRL level in 2020">
      <formula>NOT(ISERROR(SEARCH("Select the observed or expected TRL level in 2020",D11)))</formula>
    </cfRule>
    <cfRule type="containsText" dxfId="403" priority="757" operator="containsText" text="Specify here the observed or expected TRL level in 2020">
      <formula>NOT(ISERROR(SEARCH("Specify here the observed or expected TRL level in 2020",D11)))</formula>
    </cfRule>
  </conditionalFormatting>
  <conditionalFormatting sqref="D12:O12">
    <cfRule type="containsText" dxfId="402" priority="756" operator="containsText" text="Explain here">
      <formula>NOT(ISERROR(SEARCH("Explain here",D12)))</formula>
    </cfRule>
  </conditionalFormatting>
  <conditionalFormatting sqref="D30">
    <cfRule type="containsText" dxfId="401" priority="753" operator="containsText" text="Specify here">
      <formula>NOT(ISERROR(SEARCH("Specify here",D30)))</formula>
    </cfRule>
  </conditionalFormatting>
  <conditionalFormatting sqref="D40:O40">
    <cfRule type="containsText" dxfId="400" priority="752" operator="containsText" text="Explain here (e.g. other costs)">
      <formula>NOT(ISERROR(SEARCH("Explain here (e.g. other costs)",D40)))</formula>
    </cfRule>
  </conditionalFormatting>
  <conditionalFormatting sqref="D51:O51">
    <cfRule type="containsText" dxfId="399" priority="751" operator="containsText" text="Explain here (e.g. flexible in and out)">
      <formula>NOT(ISERROR(SEARCH("Explain here (e.g. flexible in and out)",D51)))</formula>
    </cfRule>
  </conditionalFormatting>
  <conditionalFormatting sqref="D44">
    <cfRule type="containsText" dxfId="398" priority="750" operator="containsText" text="Select">
      <formula>NOT(ISERROR(SEARCH("Select",D44)))</formula>
    </cfRule>
  </conditionalFormatting>
  <conditionalFormatting sqref="D58:O58">
    <cfRule type="containsText" dxfId="397" priority="746" operator="containsText" text="Explain here">
      <formula>NOT(ISERROR(SEARCH("Explain here",D58)))</formula>
    </cfRule>
  </conditionalFormatting>
  <conditionalFormatting sqref="D54">
    <cfRule type="containsText" dxfId="396" priority="745" operator="containsText" text="Select">
      <formula>NOT(ISERROR(SEARCH("Select",D54)))</formula>
    </cfRule>
  </conditionalFormatting>
  <conditionalFormatting sqref="D15:F16 D22:F23 D25:F27 D24:E24">
    <cfRule type="containsText" dxfId="395" priority="739" operator="containsText" text="Please select">
      <formula>NOT(ISERROR(SEARCH("Please select",D15)))</formula>
    </cfRule>
  </conditionalFormatting>
  <conditionalFormatting sqref="D17 F17">
    <cfRule type="containsText" dxfId="394" priority="730" operator="containsText" text="Please select 'Functional Unit' above">
      <formula>NOT(ISERROR(SEARCH("Please select 'Functional Unit' above",D17)))</formula>
    </cfRule>
  </conditionalFormatting>
  <conditionalFormatting sqref="E32">
    <cfRule type="containsText" dxfId="393" priority="728" operator="containsText" text="Please select 'Functional Unit' above">
      <formula>NOT(ISERROR(SEARCH("Please select 'Functional Unit' above",E32)))</formula>
    </cfRule>
  </conditionalFormatting>
  <conditionalFormatting sqref="E34">
    <cfRule type="containsText" dxfId="392" priority="727" operator="containsText" text="Please select 'Functional Unit' above">
      <formula>NOT(ISERROR(SEARCH("Please select 'Functional Unit' above",E34)))</formula>
    </cfRule>
  </conditionalFormatting>
  <conditionalFormatting sqref="E36">
    <cfRule type="containsText" dxfId="391" priority="726" operator="containsText" text="Please select 'Functional Unit' above">
      <formula>NOT(ISERROR(SEARCH("Please select 'Functional Unit' above",E36)))</formula>
    </cfRule>
  </conditionalFormatting>
  <conditionalFormatting sqref="D61">
    <cfRule type="containsText" dxfId="390" priority="710" operator="containsText" text="Select">
      <formula>NOT(ISERROR(SEARCH("Select",D61)))</formula>
    </cfRule>
  </conditionalFormatting>
  <conditionalFormatting sqref="F61:F68">
    <cfRule type="containsText" dxfId="389" priority="703" operator="containsText" text="Please select">
      <formula>NOT(ISERROR(SEARCH("Please select",F61)))</formula>
    </cfRule>
  </conditionalFormatting>
  <conditionalFormatting sqref="D28 L28">
    <cfRule type="containsText" dxfId="388" priority="684" operator="containsText" text="Explain here">
      <formula>NOT(ISERROR(SEARCH("Explain here",D28)))</formula>
    </cfRule>
  </conditionalFormatting>
  <conditionalFormatting sqref="D69:O69">
    <cfRule type="containsText" dxfId="387" priority="696" operator="containsText" text="Explain here">
      <formula>NOT(ISERROR(SEARCH("Explain here",D69)))</formula>
    </cfRule>
  </conditionalFormatting>
  <conditionalFormatting sqref="B82:B90">
    <cfRule type="containsText" dxfId="386" priority="695" operator="containsText" text="Specify data sources and references here">
      <formula>NOT(ISERROR(SEARCH("Specify data sources and references here",B82)))</formula>
    </cfRule>
  </conditionalFormatting>
  <conditionalFormatting sqref="E38">
    <cfRule type="containsText" dxfId="385" priority="694" operator="containsText" text="Please select 'Functional Unit' above">
      <formula>NOT(ISERROR(SEARCH("Please select 'Functional Unit' above",E38)))</formula>
    </cfRule>
  </conditionalFormatting>
  <conditionalFormatting sqref="F43:F50">
    <cfRule type="containsText" dxfId="384" priority="692" operator="containsText" text="Please select">
      <formula>NOT(ISERROR(SEARCH("Please select",F43)))</formula>
    </cfRule>
  </conditionalFormatting>
  <conditionalFormatting sqref="G33 I33 G32:O32 G34:O34 G36:O36">
    <cfRule type="containsText" dxfId="383" priority="688" operator="containsText" text="Max">
      <formula>NOT(ISERROR(SEARCH("Max",G32)))</formula>
    </cfRule>
    <cfRule type="containsText" dxfId="382" priority="689" operator="containsText" text="Min">
      <formula>NOT(ISERROR(SEARCH("Min",G32)))</formula>
    </cfRule>
    <cfRule type="containsText" dxfId="381" priority="690" operator="containsText" text="Specify ">
      <formula>NOT(ISERROR(SEARCH("Specify ",G32)))</formula>
    </cfRule>
  </conditionalFormatting>
  <conditionalFormatting sqref="D45">
    <cfRule type="containsText" dxfId="380" priority="683" operator="containsText" text="Select">
      <formula>NOT(ISERROR(SEARCH("Select",D45)))</formula>
    </cfRule>
  </conditionalFormatting>
  <conditionalFormatting sqref="D47">
    <cfRule type="containsText" dxfId="379" priority="682" operator="containsText" text="Select">
      <formula>NOT(ISERROR(SEARCH("Select",D47)))</formula>
    </cfRule>
  </conditionalFormatting>
  <conditionalFormatting sqref="D49">
    <cfRule type="containsText" dxfId="378" priority="681" operator="containsText" text="Select">
      <formula>NOT(ISERROR(SEARCH("Select",D49)))</formula>
    </cfRule>
  </conditionalFormatting>
  <conditionalFormatting sqref="D56">
    <cfRule type="containsText" dxfId="377" priority="680" operator="containsText" text="Select">
      <formula>NOT(ISERROR(SEARCH("Select",D56)))</formula>
    </cfRule>
  </conditionalFormatting>
  <conditionalFormatting sqref="D63">
    <cfRule type="containsText" dxfId="376" priority="679" operator="containsText" text="Select">
      <formula>NOT(ISERROR(SEARCH("Select",D63)))</formula>
    </cfRule>
  </conditionalFormatting>
  <conditionalFormatting sqref="D65">
    <cfRule type="containsText" dxfId="375" priority="678" operator="containsText" text="Select">
      <formula>NOT(ISERROR(SEARCH("Select",D65)))</formula>
    </cfRule>
  </conditionalFormatting>
  <conditionalFormatting sqref="D67">
    <cfRule type="containsText" dxfId="374" priority="677" operator="containsText" text="Select">
      <formula>NOT(ISERROR(SEARCH("Select",D67)))</formula>
    </cfRule>
  </conditionalFormatting>
  <conditionalFormatting sqref="D20 F20">
    <cfRule type="containsText" dxfId="373" priority="670" operator="containsText" text="Please select 'Functional Unit' above">
      <formula>NOT(ISERROR(SEARCH("Please select 'Functional Unit' above",D20)))</formula>
    </cfRule>
  </conditionalFormatting>
  <conditionalFormatting sqref="G19:O19 G21:O21">
    <cfRule type="containsText" dxfId="372" priority="667" operator="containsText" text="Max">
      <formula>NOT(ISERROR(SEARCH("Max",G19)))</formula>
    </cfRule>
    <cfRule type="containsText" dxfId="371" priority="668" operator="containsText" text="Min">
      <formula>NOT(ISERROR(SEARCH("Min",G19)))</formula>
    </cfRule>
    <cfRule type="containsText" dxfId="370" priority="669" operator="containsText" text="Specify ">
      <formula>NOT(ISERROR(SEARCH("Specify ",G19)))</formula>
    </cfRule>
  </conditionalFormatting>
  <conditionalFormatting sqref="G16:I16">
    <cfRule type="containsText" dxfId="369" priority="666" operator="containsText" text="min">
      <formula>NOT(ISERROR(SEARCH("min",G16)))</formula>
    </cfRule>
  </conditionalFormatting>
  <conditionalFormatting sqref="M16:O16">
    <cfRule type="containsText" dxfId="368" priority="665" operator="containsText" text="max">
      <formula>NOT(ISERROR(SEARCH("max",M16)))</formula>
    </cfRule>
  </conditionalFormatting>
  <conditionalFormatting sqref="D80:O80">
    <cfRule type="containsText" dxfId="367" priority="655" operator="containsText" text="Explain here">
      <formula>NOT(ISERROR(SEARCH("Explain here",D80)))</formula>
    </cfRule>
  </conditionalFormatting>
  <conditionalFormatting sqref="H33">
    <cfRule type="containsText" dxfId="366" priority="652" operator="containsText" text="Max">
      <formula>NOT(ISERROR(SEARCH("Max",H33)))</formula>
    </cfRule>
    <cfRule type="containsText" dxfId="365" priority="653" operator="containsText" text="Min">
      <formula>NOT(ISERROR(SEARCH("Min",H33)))</formula>
    </cfRule>
    <cfRule type="containsText" dxfId="364" priority="654" operator="containsText" text="Specify ">
      <formula>NOT(ISERROR(SEARCH("Specify ",H33)))</formula>
    </cfRule>
  </conditionalFormatting>
  <conditionalFormatting sqref="G18:O18">
    <cfRule type="containsText" dxfId="363" priority="478" operator="containsText" text="Max">
      <formula>NOT(ISERROR(SEARCH("Max",G18)))</formula>
    </cfRule>
    <cfRule type="containsText" dxfId="362" priority="479" operator="containsText" text="Min">
      <formula>NOT(ISERROR(SEARCH("Min",G18)))</formula>
    </cfRule>
    <cfRule type="containsText" dxfId="361" priority="480" operator="containsText" text="Specify ">
      <formula>NOT(ISERROR(SEARCH("Specify ",G18)))</formula>
    </cfRule>
  </conditionalFormatting>
  <conditionalFormatting sqref="G20:O20">
    <cfRule type="containsText" dxfId="360" priority="475" operator="containsText" text="Max">
      <formula>NOT(ISERROR(SEARCH("Max",G20)))</formula>
    </cfRule>
    <cfRule type="containsText" dxfId="359" priority="476" operator="containsText" text="Min">
      <formula>NOT(ISERROR(SEARCH("Min",G20)))</formula>
    </cfRule>
    <cfRule type="containsText" dxfId="358" priority="477" operator="containsText" text="Specify ">
      <formula>NOT(ISERROR(SEARCH("Specify ",G20)))</formula>
    </cfRule>
  </conditionalFormatting>
  <conditionalFormatting sqref="G43:O43">
    <cfRule type="containsText" dxfId="357" priority="472" operator="containsText" text="Max">
      <formula>NOT(ISERROR(SEARCH("Max",G43)))</formula>
    </cfRule>
    <cfRule type="containsText" dxfId="356" priority="473" operator="containsText" text="Min">
      <formula>NOT(ISERROR(SEARCH("Min",G43)))</formula>
    </cfRule>
    <cfRule type="containsText" dxfId="355" priority="474" operator="containsText" text="Specify ">
      <formula>NOT(ISERROR(SEARCH("Specify ",G43)))</formula>
    </cfRule>
  </conditionalFormatting>
  <conditionalFormatting sqref="J33 L33">
    <cfRule type="containsText" dxfId="354" priority="334" operator="containsText" text="Max">
      <formula>NOT(ISERROR(SEARCH("Max",J33)))</formula>
    </cfRule>
    <cfRule type="containsText" dxfId="353" priority="335" operator="containsText" text="Min">
      <formula>NOT(ISERROR(SEARCH("Min",J33)))</formula>
    </cfRule>
    <cfRule type="containsText" dxfId="352" priority="336" operator="containsText" text="Specify ">
      <formula>NOT(ISERROR(SEARCH("Specify ",J33)))</formula>
    </cfRule>
  </conditionalFormatting>
  <conditionalFormatting sqref="K33">
    <cfRule type="containsText" dxfId="351" priority="331" operator="containsText" text="Max">
      <formula>NOT(ISERROR(SEARCH("Max",K33)))</formula>
    </cfRule>
    <cfRule type="containsText" dxfId="350" priority="332" operator="containsText" text="Min">
      <formula>NOT(ISERROR(SEARCH("Min",K33)))</formula>
    </cfRule>
    <cfRule type="containsText" dxfId="349" priority="333" operator="containsText" text="Specify ">
      <formula>NOT(ISERROR(SEARCH("Specify ",K33)))</formula>
    </cfRule>
  </conditionalFormatting>
  <conditionalFormatting sqref="M33 O33">
    <cfRule type="containsText" dxfId="348" priority="328" operator="containsText" text="Max">
      <formula>NOT(ISERROR(SEARCH("Max",M33)))</formula>
    </cfRule>
    <cfRule type="containsText" dxfId="347" priority="329" operator="containsText" text="Min">
      <formula>NOT(ISERROR(SEARCH("Min",M33)))</formula>
    </cfRule>
    <cfRule type="containsText" dxfId="346" priority="330" operator="containsText" text="Specify ">
      <formula>NOT(ISERROR(SEARCH("Specify ",M33)))</formula>
    </cfRule>
  </conditionalFormatting>
  <conditionalFormatting sqref="N33">
    <cfRule type="containsText" dxfId="345" priority="325" operator="containsText" text="Max">
      <formula>NOT(ISERROR(SEARCH("Max",N33)))</formula>
    </cfRule>
    <cfRule type="containsText" dxfId="344" priority="326" operator="containsText" text="Min">
      <formula>NOT(ISERROR(SEARCH("Min",N33)))</formula>
    </cfRule>
    <cfRule type="containsText" dxfId="343" priority="327" operator="containsText" text="Specify ">
      <formula>NOT(ISERROR(SEARCH("Specify ",N33)))</formula>
    </cfRule>
  </conditionalFormatting>
  <conditionalFormatting sqref="G35 I35">
    <cfRule type="containsText" dxfId="342" priority="322" operator="containsText" text="Max">
      <formula>NOT(ISERROR(SEARCH("Max",G35)))</formula>
    </cfRule>
    <cfRule type="containsText" dxfId="341" priority="323" operator="containsText" text="Min">
      <formula>NOT(ISERROR(SEARCH("Min",G35)))</formula>
    </cfRule>
    <cfRule type="containsText" dxfId="340" priority="324" operator="containsText" text="Specify ">
      <formula>NOT(ISERROR(SEARCH("Specify ",G35)))</formula>
    </cfRule>
  </conditionalFormatting>
  <conditionalFormatting sqref="H35">
    <cfRule type="containsText" dxfId="339" priority="319" operator="containsText" text="Max">
      <formula>NOT(ISERROR(SEARCH("Max",H35)))</formula>
    </cfRule>
    <cfRule type="containsText" dxfId="338" priority="320" operator="containsText" text="Min">
      <formula>NOT(ISERROR(SEARCH("Min",H35)))</formula>
    </cfRule>
    <cfRule type="containsText" dxfId="337" priority="321" operator="containsText" text="Specify ">
      <formula>NOT(ISERROR(SEARCH("Specify ",H35)))</formula>
    </cfRule>
  </conditionalFormatting>
  <conditionalFormatting sqref="J35 L35">
    <cfRule type="containsText" dxfId="336" priority="316" operator="containsText" text="Max">
      <formula>NOT(ISERROR(SEARCH("Max",J35)))</formula>
    </cfRule>
    <cfRule type="containsText" dxfId="335" priority="317" operator="containsText" text="Min">
      <formula>NOT(ISERROR(SEARCH("Min",J35)))</formula>
    </cfRule>
    <cfRule type="containsText" dxfId="334" priority="318" operator="containsText" text="Specify ">
      <formula>NOT(ISERROR(SEARCH("Specify ",J35)))</formula>
    </cfRule>
  </conditionalFormatting>
  <conditionalFormatting sqref="K35">
    <cfRule type="containsText" dxfId="333" priority="313" operator="containsText" text="Max">
      <formula>NOT(ISERROR(SEARCH("Max",K35)))</formula>
    </cfRule>
    <cfRule type="containsText" dxfId="332" priority="314" operator="containsText" text="Min">
      <formula>NOT(ISERROR(SEARCH("Min",K35)))</formula>
    </cfRule>
    <cfRule type="containsText" dxfId="331" priority="315" operator="containsText" text="Specify ">
      <formula>NOT(ISERROR(SEARCH("Specify ",K35)))</formula>
    </cfRule>
  </conditionalFormatting>
  <conditionalFormatting sqref="M35 O35">
    <cfRule type="containsText" dxfId="330" priority="310" operator="containsText" text="Max">
      <formula>NOT(ISERROR(SEARCH("Max",M35)))</formula>
    </cfRule>
    <cfRule type="containsText" dxfId="329" priority="311" operator="containsText" text="Min">
      <formula>NOT(ISERROR(SEARCH("Min",M35)))</formula>
    </cfRule>
    <cfRule type="containsText" dxfId="328" priority="312" operator="containsText" text="Specify ">
      <formula>NOT(ISERROR(SEARCH("Specify ",M35)))</formula>
    </cfRule>
  </conditionalFormatting>
  <conditionalFormatting sqref="N35">
    <cfRule type="containsText" dxfId="327" priority="307" operator="containsText" text="Max">
      <formula>NOT(ISERROR(SEARCH("Max",N35)))</formula>
    </cfRule>
    <cfRule type="containsText" dxfId="326" priority="308" operator="containsText" text="Min">
      <formula>NOT(ISERROR(SEARCH("Min",N35)))</formula>
    </cfRule>
    <cfRule type="containsText" dxfId="325" priority="309" operator="containsText" text="Specify ">
      <formula>NOT(ISERROR(SEARCH("Specify ",N35)))</formula>
    </cfRule>
  </conditionalFormatting>
  <conditionalFormatting sqref="G37 I37 G38:O38">
    <cfRule type="containsText" dxfId="324" priority="304" operator="containsText" text="Max">
      <formula>NOT(ISERROR(SEARCH("Max",G37)))</formula>
    </cfRule>
    <cfRule type="containsText" dxfId="323" priority="305" operator="containsText" text="Min">
      <formula>NOT(ISERROR(SEARCH("Min",G37)))</formula>
    </cfRule>
    <cfRule type="containsText" dxfId="322" priority="306" operator="containsText" text="Specify ">
      <formula>NOT(ISERROR(SEARCH("Specify ",G37)))</formula>
    </cfRule>
  </conditionalFormatting>
  <conditionalFormatting sqref="H37">
    <cfRule type="containsText" dxfId="321" priority="301" operator="containsText" text="Max">
      <formula>NOT(ISERROR(SEARCH("Max",H37)))</formula>
    </cfRule>
    <cfRule type="containsText" dxfId="320" priority="302" operator="containsText" text="Min">
      <formula>NOT(ISERROR(SEARCH("Min",H37)))</formula>
    </cfRule>
    <cfRule type="containsText" dxfId="319" priority="303" operator="containsText" text="Specify ">
      <formula>NOT(ISERROR(SEARCH("Specify ",H37)))</formula>
    </cfRule>
  </conditionalFormatting>
  <conditionalFormatting sqref="J37 L37">
    <cfRule type="containsText" dxfId="318" priority="298" operator="containsText" text="Max">
      <formula>NOT(ISERROR(SEARCH("Max",J37)))</formula>
    </cfRule>
    <cfRule type="containsText" dxfId="317" priority="299" operator="containsText" text="Min">
      <formula>NOT(ISERROR(SEARCH("Min",J37)))</formula>
    </cfRule>
    <cfRule type="containsText" dxfId="316" priority="300" operator="containsText" text="Specify ">
      <formula>NOT(ISERROR(SEARCH("Specify ",J37)))</formula>
    </cfRule>
  </conditionalFormatting>
  <conditionalFormatting sqref="K37">
    <cfRule type="containsText" dxfId="315" priority="295" operator="containsText" text="Max">
      <formula>NOT(ISERROR(SEARCH("Max",K37)))</formula>
    </cfRule>
    <cfRule type="containsText" dxfId="314" priority="296" operator="containsText" text="Min">
      <formula>NOT(ISERROR(SEARCH("Min",K37)))</formula>
    </cfRule>
    <cfRule type="containsText" dxfId="313" priority="297" operator="containsText" text="Specify ">
      <formula>NOT(ISERROR(SEARCH("Specify ",K37)))</formula>
    </cfRule>
  </conditionalFormatting>
  <conditionalFormatting sqref="M37 O37">
    <cfRule type="containsText" dxfId="312" priority="292" operator="containsText" text="Max">
      <formula>NOT(ISERROR(SEARCH("Max",M37)))</formula>
    </cfRule>
    <cfRule type="containsText" dxfId="311" priority="293" operator="containsText" text="Min">
      <formula>NOT(ISERROR(SEARCH("Min",M37)))</formula>
    </cfRule>
    <cfRule type="containsText" dxfId="310" priority="294" operator="containsText" text="Specify ">
      <formula>NOT(ISERROR(SEARCH("Specify ",M37)))</formula>
    </cfRule>
  </conditionalFormatting>
  <conditionalFormatting sqref="N37">
    <cfRule type="containsText" dxfId="309" priority="289" operator="containsText" text="Max">
      <formula>NOT(ISERROR(SEARCH("Max",N37)))</formula>
    </cfRule>
    <cfRule type="containsText" dxfId="308" priority="290" operator="containsText" text="Min">
      <formula>NOT(ISERROR(SEARCH("Min",N37)))</formula>
    </cfRule>
    <cfRule type="containsText" dxfId="307" priority="291" operator="containsText" text="Specify ">
      <formula>NOT(ISERROR(SEARCH("Specify ",N37)))</formula>
    </cfRule>
  </conditionalFormatting>
  <conditionalFormatting sqref="G39 I39">
    <cfRule type="containsText" dxfId="306" priority="286" operator="containsText" text="Max">
      <formula>NOT(ISERROR(SEARCH("Max",G39)))</formula>
    </cfRule>
    <cfRule type="containsText" dxfId="305" priority="287" operator="containsText" text="Min">
      <formula>NOT(ISERROR(SEARCH("Min",G39)))</formula>
    </cfRule>
    <cfRule type="containsText" dxfId="304" priority="288" operator="containsText" text="Specify ">
      <formula>NOT(ISERROR(SEARCH("Specify ",G39)))</formula>
    </cfRule>
  </conditionalFormatting>
  <conditionalFormatting sqref="H39">
    <cfRule type="containsText" dxfId="303" priority="283" operator="containsText" text="Max">
      <formula>NOT(ISERROR(SEARCH("Max",H39)))</formula>
    </cfRule>
    <cfRule type="containsText" dxfId="302" priority="284" operator="containsText" text="Min">
      <formula>NOT(ISERROR(SEARCH("Min",H39)))</formula>
    </cfRule>
    <cfRule type="containsText" dxfId="301" priority="285" operator="containsText" text="Specify ">
      <formula>NOT(ISERROR(SEARCH("Specify ",H39)))</formula>
    </cfRule>
  </conditionalFormatting>
  <conditionalFormatting sqref="J39 L39">
    <cfRule type="containsText" dxfId="300" priority="280" operator="containsText" text="Max">
      <formula>NOT(ISERROR(SEARCH("Max",J39)))</formula>
    </cfRule>
    <cfRule type="containsText" dxfId="299" priority="281" operator="containsText" text="Min">
      <formula>NOT(ISERROR(SEARCH("Min",J39)))</formula>
    </cfRule>
    <cfRule type="containsText" dxfId="298" priority="282" operator="containsText" text="Specify ">
      <formula>NOT(ISERROR(SEARCH("Specify ",J39)))</formula>
    </cfRule>
  </conditionalFormatting>
  <conditionalFormatting sqref="K39">
    <cfRule type="containsText" dxfId="297" priority="277" operator="containsText" text="Max">
      <formula>NOT(ISERROR(SEARCH("Max",K39)))</formula>
    </cfRule>
    <cfRule type="containsText" dxfId="296" priority="278" operator="containsText" text="Min">
      <formula>NOT(ISERROR(SEARCH("Min",K39)))</formula>
    </cfRule>
    <cfRule type="containsText" dxfId="295" priority="279" operator="containsText" text="Specify ">
      <formula>NOT(ISERROR(SEARCH("Specify ",K39)))</formula>
    </cfRule>
  </conditionalFormatting>
  <conditionalFormatting sqref="M39 O39">
    <cfRule type="containsText" dxfId="294" priority="274" operator="containsText" text="Max">
      <formula>NOT(ISERROR(SEARCH("Max",M39)))</formula>
    </cfRule>
    <cfRule type="containsText" dxfId="293" priority="275" operator="containsText" text="Min">
      <formula>NOT(ISERROR(SEARCH("Min",M39)))</formula>
    </cfRule>
    <cfRule type="containsText" dxfId="292" priority="276" operator="containsText" text="Specify ">
      <formula>NOT(ISERROR(SEARCH("Specify ",M39)))</formula>
    </cfRule>
  </conditionalFormatting>
  <conditionalFormatting sqref="N39">
    <cfRule type="containsText" dxfId="291" priority="271" operator="containsText" text="Max">
      <formula>NOT(ISERROR(SEARCH("Max",N39)))</formula>
    </cfRule>
    <cfRule type="containsText" dxfId="290" priority="272" operator="containsText" text="Min">
      <formula>NOT(ISERROR(SEARCH("Min",N39)))</formula>
    </cfRule>
    <cfRule type="containsText" dxfId="289" priority="273" operator="containsText" text="Specify ">
      <formula>NOT(ISERROR(SEARCH("Specify ",N39)))</formula>
    </cfRule>
  </conditionalFormatting>
  <conditionalFormatting sqref="G44 I44 G45:O45 G47:O47">
    <cfRule type="containsText" dxfId="288" priority="268" operator="containsText" text="Max">
      <formula>NOT(ISERROR(SEARCH("Max",G44)))</formula>
    </cfRule>
    <cfRule type="containsText" dxfId="287" priority="269" operator="containsText" text="Min">
      <formula>NOT(ISERROR(SEARCH("Min",G44)))</formula>
    </cfRule>
    <cfRule type="containsText" dxfId="286" priority="270" operator="containsText" text="Specify ">
      <formula>NOT(ISERROR(SEARCH("Specify ",G44)))</formula>
    </cfRule>
  </conditionalFormatting>
  <conditionalFormatting sqref="H44">
    <cfRule type="containsText" dxfId="285" priority="265" operator="containsText" text="Max">
      <formula>NOT(ISERROR(SEARCH("Max",H44)))</formula>
    </cfRule>
    <cfRule type="containsText" dxfId="284" priority="266" operator="containsText" text="Min">
      <formula>NOT(ISERROR(SEARCH("Min",H44)))</formula>
    </cfRule>
    <cfRule type="containsText" dxfId="283" priority="267" operator="containsText" text="Specify ">
      <formula>NOT(ISERROR(SEARCH("Specify ",H44)))</formula>
    </cfRule>
  </conditionalFormatting>
  <conditionalFormatting sqref="J44 L44">
    <cfRule type="containsText" dxfId="282" priority="262" operator="containsText" text="Max">
      <formula>NOT(ISERROR(SEARCH("Max",J44)))</formula>
    </cfRule>
    <cfRule type="containsText" dxfId="281" priority="263" operator="containsText" text="Min">
      <formula>NOT(ISERROR(SEARCH("Min",J44)))</formula>
    </cfRule>
    <cfRule type="containsText" dxfId="280" priority="264" operator="containsText" text="Specify ">
      <formula>NOT(ISERROR(SEARCH("Specify ",J44)))</formula>
    </cfRule>
  </conditionalFormatting>
  <conditionalFormatting sqref="K44">
    <cfRule type="containsText" dxfId="279" priority="259" operator="containsText" text="Max">
      <formula>NOT(ISERROR(SEARCH("Max",K44)))</formula>
    </cfRule>
    <cfRule type="containsText" dxfId="278" priority="260" operator="containsText" text="Min">
      <formula>NOT(ISERROR(SEARCH("Min",K44)))</formula>
    </cfRule>
    <cfRule type="containsText" dxfId="277" priority="261" operator="containsText" text="Specify ">
      <formula>NOT(ISERROR(SEARCH("Specify ",K44)))</formula>
    </cfRule>
  </conditionalFormatting>
  <conditionalFormatting sqref="M44 O44">
    <cfRule type="containsText" dxfId="276" priority="256" operator="containsText" text="Max">
      <formula>NOT(ISERROR(SEARCH("Max",M44)))</formula>
    </cfRule>
    <cfRule type="containsText" dxfId="275" priority="257" operator="containsText" text="Min">
      <formula>NOT(ISERROR(SEARCH("Min",M44)))</formula>
    </cfRule>
    <cfRule type="containsText" dxfId="274" priority="258" operator="containsText" text="Specify ">
      <formula>NOT(ISERROR(SEARCH("Specify ",M44)))</formula>
    </cfRule>
  </conditionalFormatting>
  <conditionalFormatting sqref="N44">
    <cfRule type="containsText" dxfId="273" priority="253" operator="containsText" text="Max">
      <formula>NOT(ISERROR(SEARCH("Max",N44)))</formula>
    </cfRule>
    <cfRule type="containsText" dxfId="272" priority="254" operator="containsText" text="Min">
      <formula>NOT(ISERROR(SEARCH("Min",N44)))</formula>
    </cfRule>
    <cfRule type="containsText" dxfId="271" priority="255" operator="containsText" text="Specify ">
      <formula>NOT(ISERROR(SEARCH("Specify ",N44)))</formula>
    </cfRule>
  </conditionalFormatting>
  <conditionalFormatting sqref="G46 I46">
    <cfRule type="containsText" dxfId="270" priority="250" operator="containsText" text="Max">
      <formula>NOT(ISERROR(SEARCH("Max",G46)))</formula>
    </cfRule>
    <cfRule type="containsText" dxfId="269" priority="251" operator="containsText" text="Min">
      <formula>NOT(ISERROR(SEARCH("Min",G46)))</formula>
    </cfRule>
    <cfRule type="containsText" dxfId="268" priority="252" operator="containsText" text="Specify ">
      <formula>NOT(ISERROR(SEARCH("Specify ",G46)))</formula>
    </cfRule>
  </conditionalFormatting>
  <conditionalFormatting sqref="H46">
    <cfRule type="containsText" dxfId="267" priority="247" operator="containsText" text="Max">
      <formula>NOT(ISERROR(SEARCH("Max",H46)))</formula>
    </cfRule>
    <cfRule type="containsText" dxfId="266" priority="248" operator="containsText" text="Min">
      <formula>NOT(ISERROR(SEARCH("Min",H46)))</formula>
    </cfRule>
    <cfRule type="containsText" dxfId="265" priority="249" operator="containsText" text="Specify ">
      <formula>NOT(ISERROR(SEARCH("Specify ",H46)))</formula>
    </cfRule>
  </conditionalFormatting>
  <conditionalFormatting sqref="J46 L46">
    <cfRule type="containsText" dxfId="264" priority="244" operator="containsText" text="Max">
      <formula>NOT(ISERROR(SEARCH("Max",J46)))</formula>
    </cfRule>
    <cfRule type="containsText" dxfId="263" priority="245" operator="containsText" text="Min">
      <formula>NOT(ISERROR(SEARCH("Min",J46)))</formula>
    </cfRule>
    <cfRule type="containsText" dxfId="262" priority="246" operator="containsText" text="Specify ">
      <formula>NOT(ISERROR(SEARCH("Specify ",J46)))</formula>
    </cfRule>
  </conditionalFormatting>
  <conditionalFormatting sqref="K46">
    <cfRule type="containsText" dxfId="261" priority="241" operator="containsText" text="Max">
      <formula>NOT(ISERROR(SEARCH("Max",K46)))</formula>
    </cfRule>
    <cfRule type="containsText" dxfId="260" priority="242" operator="containsText" text="Min">
      <formula>NOT(ISERROR(SEARCH("Min",K46)))</formula>
    </cfRule>
    <cfRule type="containsText" dxfId="259" priority="243" operator="containsText" text="Specify ">
      <formula>NOT(ISERROR(SEARCH("Specify ",K46)))</formula>
    </cfRule>
  </conditionalFormatting>
  <conditionalFormatting sqref="M46 O46">
    <cfRule type="containsText" dxfId="258" priority="238" operator="containsText" text="Max">
      <formula>NOT(ISERROR(SEARCH("Max",M46)))</formula>
    </cfRule>
    <cfRule type="containsText" dxfId="257" priority="239" operator="containsText" text="Min">
      <formula>NOT(ISERROR(SEARCH("Min",M46)))</formula>
    </cfRule>
    <cfRule type="containsText" dxfId="256" priority="240" operator="containsText" text="Specify ">
      <formula>NOT(ISERROR(SEARCH("Specify ",M46)))</formula>
    </cfRule>
  </conditionalFormatting>
  <conditionalFormatting sqref="N46">
    <cfRule type="containsText" dxfId="255" priority="235" operator="containsText" text="Max">
      <formula>NOT(ISERROR(SEARCH("Max",N46)))</formula>
    </cfRule>
    <cfRule type="containsText" dxfId="254" priority="236" operator="containsText" text="Min">
      <formula>NOT(ISERROR(SEARCH("Min",N46)))</formula>
    </cfRule>
    <cfRule type="containsText" dxfId="253" priority="237" operator="containsText" text="Specify ">
      <formula>NOT(ISERROR(SEARCH("Specify ",N46)))</formula>
    </cfRule>
  </conditionalFormatting>
  <conditionalFormatting sqref="G48 I48 G49:O49">
    <cfRule type="containsText" dxfId="252" priority="232" operator="containsText" text="Max">
      <formula>NOT(ISERROR(SEARCH("Max",G48)))</formula>
    </cfRule>
    <cfRule type="containsText" dxfId="251" priority="233" operator="containsText" text="Min">
      <formula>NOT(ISERROR(SEARCH("Min",G48)))</formula>
    </cfRule>
    <cfRule type="containsText" dxfId="250" priority="234" operator="containsText" text="Specify ">
      <formula>NOT(ISERROR(SEARCH("Specify ",G48)))</formula>
    </cfRule>
  </conditionalFormatting>
  <conditionalFormatting sqref="H48">
    <cfRule type="containsText" dxfId="249" priority="229" operator="containsText" text="Max">
      <formula>NOT(ISERROR(SEARCH("Max",H48)))</formula>
    </cfRule>
    <cfRule type="containsText" dxfId="248" priority="230" operator="containsText" text="Min">
      <formula>NOT(ISERROR(SEARCH("Min",H48)))</formula>
    </cfRule>
    <cfRule type="containsText" dxfId="247" priority="231" operator="containsText" text="Specify ">
      <formula>NOT(ISERROR(SEARCH("Specify ",H48)))</formula>
    </cfRule>
  </conditionalFormatting>
  <conditionalFormatting sqref="J48 L48">
    <cfRule type="containsText" dxfId="246" priority="226" operator="containsText" text="Max">
      <formula>NOT(ISERROR(SEARCH("Max",J48)))</formula>
    </cfRule>
    <cfRule type="containsText" dxfId="245" priority="227" operator="containsText" text="Min">
      <formula>NOT(ISERROR(SEARCH("Min",J48)))</formula>
    </cfRule>
    <cfRule type="containsText" dxfId="244" priority="228" operator="containsText" text="Specify ">
      <formula>NOT(ISERROR(SEARCH("Specify ",J48)))</formula>
    </cfRule>
  </conditionalFormatting>
  <conditionalFormatting sqref="K48">
    <cfRule type="containsText" dxfId="243" priority="223" operator="containsText" text="Max">
      <formula>NOT(ISERROR(SEARCH("Max",K48)))</formula>
    </cfRule>
    <cfRule type="containsText" dxfId="242" priority="224" operator="containsText" text="Min">
      <formula>NOT(ISERROR(SEARCH("Min",K48)))</formula>
    </cfRule>
    <cfRule type="containsText" dxfId="241" priority="225" operator="containsText" text="Specify ">
      <formula>NOT(ISERROR(SEARCH("Specify ",K48)))</formula>
    </cfRule>
  </conditionalFormatting>
  <conditionalFormatting sqref="M48 O48">
    <cfRule type="containsText" dxfId="240" priority="220" operator="containsText" text="Max">
      <formula>NOT(ISERROR(SEARCH("Max",M48)))</formula>
    </cfRule>
    <cfRule type="containsText" dxfId="239" priority="221" operator="containsText" text="Min">
      <formula>NOT(ISERROR(SEARCH("Min",M48)))</formula>
    </cfRule>
    <cfRule type="containsText" dxfId="238" priority="222" operator="containsText" text="Specify ">
      <formula>NOT(ISERROR(SEARCH("Specify ",M48)))</formula>
    </cfRule>
  </conditionalFormatting>
  <conditionalFormatting sqref="N48">
    <cfRule type="containsText" dxfId="237" priority="217" operator="containsText" text="Max">
      <formula>NOT(ISERROR(SEARCH("Max",N48)))</formula>
    </cfRule>
    <cfRule type="containsText" dxfId="236" priority="218" operator="containsText" text="Min">
      <formula>NOT(ISERROR(SEARCH("Min",N48)))</formula>
    </cfRule>
    <cfRule type="containsText" dxfId="235" priority="219" operator="containsText" text="Specify ">
      <formula>NOT(ISERROR(SEARCH("Specify ",N48)))</formula>
    </cfRule>
  </conditionalFormatting>
  <conditionalFormatting sqref="G50 I50">
    <cfRule type="containsText" dxfId="234" priority="214" operator="containsText" text="Max">
      <formula>NOT(ISERROR(SEARCH("Max",G50)))</formula>
    </cfRule>
    <cfRule type="containsText" dxfId="233" priority="215" operator="containsText" text="Min">
      <formula>NOT(ISERROR(SEARCH("Min",G50)))</formula>
    </cfRule>
    <cfRule type="containsText" dxfId="232" priority="216" operator="containsText" text="Specify ">
      <formula>NOT(ISERROR(SEARCH("Specify ",G50)))</formula>
    </cfRule>
  </conditionalFormatting>
  <conditionalFormatting sqref="H50">
    <cfRule type="containsText" dxfId="231" priority="211" operator="containsText" text="Max">
      <formula>NOT(ISERROR(SEARCH("Max",H50)))</formula>
    </cfRule>
    <cfRule type="containsText" dxfId="230" priority="212" operator="containsText" text="Min">
      <formula>NOT(ISERROR(SEARCH("Min",H50)))</formula>
    </cfRule>
    <cfRule type="containsText" dxfId="229" priority="213" operator="containsText" text="Specify ">
      <formula>NOT(ISERROR(SEARCH("Specify ",H50)))</formula>
    </cfRule>
  </conditionalFormatting>
  <conditionalFormatting sqref="J50 L50">
    <cfRule type="containsText" dxfId="228" priority="208" operator="containsText" text="Max">
      <formula>NOT(ISERROR(SEARCH("Max",J50)))</formula>
    </cfRule>
    <cfRule type="containsText" dxfId="227" priority="209" operator="containsText" text="Min">
      <formula>NOT(ISERROR(SEARCH("Min",J50)))</formula>
    </cfRule>
    <cfRule type="containsText" dxfId="226" priority="210" operator="containsText" text="Specify ">
      <formula>NOT(ISERROR(SEARCH("Specify ",J50)))</formula>
    </cfRule>
  </conditionalFormatting>
  <conditionalFormatting sqref="K50">
    <cfRule type="containsText" dxfId="225" priority="205" operator="containsText" text="Max">
      <formula>NOT(ISERROR(SEARCH("Max",K50)))</formula>
    </cfRule>
    <cfRule type="containsText" dxfId="224" priority="206" operator="containsText" text="Min">
      <formula>NOT(ISERROR(SEARCH("Min",K50)))</formula>
    </cfRule>
    <cfRule type="containsText" dxfId="223" priority="207" operator="containsText" text="Specify ">
      <formula>NOT(ISERROR(SEARCH("Specify ",K50)))</formula>
    </cfRule>
  </conditionalFormatting>
  <conditionalFormatting sqref="M50 O50">
    <cfRule type="containsText" dxfId="222" priority="202" operator="containsText" text="Max">
      <formula>NOT(ISERROR(SEARCH("Max",M50)))</formula>
    </cfRule>
    <cfRule type="containsText" dxfId="221" priority="203" operator="containsText" text="Min">
      <formula>NOT(ISERROR(SEARCH("Min",M50)))</formula>
    </cfRule>
    <cfRule type="containsText" dxfId="220" priority="204" operator="containsText" text="Specify ">
      <formula>NOT(ISERROR(SEARCH("Specify ",M50)))</formula>
    </cfRule>
  </conditionalFormatting>
  <conditionalFormatting sqref="N50">
    <cfRule type="containsText" dxfId="219" priority="199" operator="containsText" text="Max">
      <formula>NOT(ISERROR(SEARCH("Max",N50)))</formula>
    </cfRule>
    <cfRule type="containsText" dxfId="218" priority="200" operator="containsText" text="Min">
      <formula>NOT(ISERROR(SEARCH("Min",N50)))</formula>
    </cfRule>
    <cfRule type="containsText" dxfId="217" priority="201" operator="containsText" text="Specify ">
      <formula>NOT(ISERROR(SEARCH("Specify ",N50)))</formula>
    </cfRule>
  </conditionalFormatting>
  <conditionalFormatting sqref="G54:O54">
    <cfRule type="containsText" dxfId="216" priority="196" operator="containsText" text="Max">
      <formula>NOT(ISERROR(SEARCH("Max",G54)))</formula>
    </cfRule>
    <cfRule type="containsText" dxfId="215" priority="197" operator="containsText" text="Min">
      <formula>NOT(ISERROR(SEARCH("Min",G54)))</formula>
    </cfRule>
    <cfRule type="containsText" dxfId="214" priority="198" operator="containsText" text="Specify ">
      <formula>NOT(ISERROR(SEARCH("Specify ",G54)))</formula>
    </cfRule>
  </conditionalFormatting>
  <conditionalFormatting sqref="G55 I55 G56:O56">
    <cfRule type="containsText" dxfId="213" priority="193" operator="containsText" text="Max">
      <formula>NOT(ISERROR(SEARCH("Max",G55)))</formula>
    </cfRule>
    <cfRule type="containsText" dxfId="212" priority="194" operator="containsText" text="Min">
      <formula>NOT(ISERROR(SEARCH("Min",G55)))</formula>
    </cfRule>
    <cfRule type="containsText" dxfId="211" priority="195" operator="containsText" text="Specify ">
      <formula>NOT(ISERROR(SEARCH("Specify ",G55)))</formula>
    </cfRule>
  </conditionalFormatting>
  <conditionalFormatting sqref="H55">
    <cfRule type="containsText" dxfId="210" priority="190" operator="containsText" text="Max">
      <formula>NOT(ISERROR(SEARCH("Max",H55)))</formula>
    </cfRule>
    <cfRule type="containsText" dxfId="209" priority="191" operator="containsText" text="Min">
      <formula>NOT(ISERROR(SEARCH("Min",H55)))</formula>
    </cfRule>
    <cfRule type="containsText" dxfId="208" priority="192" operator="containsText" text="Specify ">
      <formula>NOT(ISERROR(SEARCH("Specify ",H55)))</formula>
    </cfRule>
  </conditionalFormatting>
  <conditionalFormatting sqref="J55 L55">
    <cfRule type="containsText" dxfId="207" priority="187" operator="containsText" text="Max">
      <formula>NOT(ISERROR(SEARCH("Max",J55)))</formula>
    </cfRule>
    <cfRule type="containsText" dxfId="206" priority="188" operator="containsText" text="Min">
      <formula>NOT(ISERROR(SEARCH("Min",J55)))</formula>
    </cfRule>
    <cfRule type="containsText" dxfId="205" priority="189" operator="containsText" text="Specify ">
      <formula>NOT(ISERROR(SEARCH("Specify ",J55)))</formula>
    </cfRule>
  </conditionalFormatting>
  <conditionalFormatting sqref="K55">
    <cfRule type="containsText" dxfId="204" priority="184" operator="containsText" text="Max">
      <formula>NOT(ISERROR(SEARCH("Max",K55)))</formula>
    </cfRule>
    <cfRule type="containsText" dxfId="203" priority="185" operator="containsText" text="Min">
      <formula>NOT(ISERROR(SEARCH("Min",K55)))</formula>
    </cfRule>
    <cfRule type="containsText" dxfId="202" priority="186" operator="containsText" text="Specify ">
      <formula>NOT(ISERROR(SEARCH("Specify ",K55)))</formula>
    </cfRule>
  </conditionalFormatting>
  <conditionalFormatting sqref="M55 O55">
    <cfRule type="containsText" dxfId="201" priority="181" operator="containsText" text="Max">
      <formula>NOT(ISERROR(SEARCH("Max",M55)))</formula>
    </cfRule>
    <cfRule type="containsText" dxfId="200" priority="182" operator="containsText" text="Min">
      <formula>NOT(ISERROR(SEARCH("Min",M55)))</formula>
    </cfRule>
    <cfRule type="containsText" dxfId="199" priority="183" operator="containsText" text="Specify ">
      <formula>NOT(ISERROR(SEARCH("Specify ",M55)))</formula>
    </cfRule>
  </conditionalFormatting>
  <conditionalFormatting sqref="N55">
    <cfRule type="containsText" dxfId="198" priority="178" operator="containsText" text="Max">
      <formula>NOT(ISERROR(SEARCH("Max",N55)))</formula>
    </cfRule>
    <cfRule type="containsText" dxfId="197" priority="179" operator="containsText" text="Min">
      <formula>NOT(ISERROR(SEARCH("Min",N55)))</formula>
    </cfRule>
    <cfRule type="containsText" dxfId="196" priority="180" operator="containsText" text="Specify ">
      <formula>NOT(ISERROR(SEARCH("Specify ",N55)))</formula>
    </cfRule>
  </conditionalFormatting>
  <conditionalFormatting sqref="G57 I57">
    <cfRule type="containsText" dxfId="195" priority="175" operator="containsText" text="Max">
      <formula>NOT(ISERROR(SEARCH("Max",G57)))</formula>
    </cfRule>
    <cfRule type="containsText" dxfId="194" priority="176" operator="containsText" text="Min">
      <formula>NOT(ISERROR(SEARCH("Min",G57)))</formula>
    </cfRule>
    <cfRule type="containsText" dxfId="193" priority="177" operator="containsText" text="Specify ">
      <formula>NOT(ISERROR(SEARCH("Specify ",G57)))</formula>
    </cfRule>
  </conditionalFormatting>
  <conditionalFormatting sqref="H57">
    <cfRule type="containsText" dxfId="192" priority="172" operator="containsText" text="Max">
      <formula>NOT(ISERROR(SEARCH("Max",H57)))</formula>
    </cfRule>
    <cfRule type="containsText" dxfId="191" priority="173" operator="containsText" text="Min">
      <formula>NOT(ISERROR(SEARCH("Min",H57)))</formula>
    </cfRule>
    <cfRule type="containsText" dxfId="190" priority="174" operator="containsText" text="Specify ">
      <formula>NOT(ISERROR(SEARCH("Specify ",H57)))</formula>
    </cfRule>
  </conditionalFormatting>
  <conditionalFormatting sqref="J57 L57">
    <cfRule type="containsText" dxfId="189" priority="169" operator="containsText" text="Max">
      <formula>NOT(ISERROR(SEARCH("Max",J57)))</formula>
    </cfRule>
    <cfRule type="containsText" dxfId="188" priority="170" operator="containsText" text="Min">
      <formula>NOT(ISERROR(SEARCH("Min",J57)))</formula>
    </cfRule>
    <cfRule type="containsText" dxfId="187" priority="171" operator="containsText" text="Specify ">
      <formula>NOT(ISERROR(SEARCH("Specify ",J57)))</formula>
    </cfRule>
  </conditionalFormatting>
  <conditionalFormatting sqref="K57">
    <cfRule type="containsText" dxfId="186" priority="166" operator="containsText" text="Max">
      <formula>NOT(ISERROR(SEARCH("Max",K57)))</formula>
    </cfRule>
    <cfRule type="containsText" dxfId="185" priority="167" operator="containsText" text="Min">
      <formula>NOT(ISERROR(SEARCH("Min",K57)))</formula>
    </cfRule>
    <cfRule type="containsText" dxfId="184" priority="168" operator="containsText" text="Specify ">
      <formula>NOT(ISERROR(SEARCH("Specify ",K57)))</formula>
    </cfRule>
  </conditionalFormatting>
  <conditionalFormatting sqref="M57 O57">
    <cfRule type="containsText" dxfId="183" priority="163" operator="containsText" text="Max">
      <formula>NOT(ISERROR(SEARCH("Max",M57)))</formula>
    </cfRule>
    <cfRule type="containsText" dxfId="182" priority="164" operator="containsText" text="Min">
      <formula>NOT(ISERROR(SEARCH("Min",M57)))</formula>
    </cfRule>
    <cfRule type="containsText" dxfId="181" priority="165" operator="containsText" text="Specify ">
      <formula>NOT(ISERROR(SEARCH("Specify ",M57)))</formula>
    </cfRule>
  </conditionalFormatting>
  <conditionalFormatting sqref="N57">
    <cfRule type="containsText" dxfId="180" priority="160" operator="containsText" text="Max">
      <formula>NOT(ISERROR(SEARCH("Max",N57)))</formula>
    </cfRule>
    <cfRule type="containsText" dxfId="179" priority="161" operator="containsText" text="Min">
      <formula>NOT(ISERROR(SEARCH("Min",N57)))</formula>
    </cfRule>
    <cfRule type="containsText" dxfId="178" priority="162" operator="containsText" text="Specify ">
      <formula>NOT(ISERROR(SEARCH("Specify ",N57)))</formula>
    </cfRule>
  </conditionalFormatting>
  <conditionalFormatting sqref="G61:O61">
    <cfRule type="containsText" dxfId="177" priority="157" operator="containsText" text="Max">
      <formula>NOT(ISERROR(SEARCH("Max",G61)))</formula>
    </cfRule>
    <cfRule type="containsText" dxfId="176" priority="158" operator="containsText" text="Min">
      <formula>NOT(ISERROR(SEARCH("Min",G61)))</formula>
    </cfRule>
    <cfRule type="containsText" dxfId="175" priority="159" operator="containsText" text="Specify ">
      <formula>NOT(ISERROR(SEARCH("Specify ",G61)))</formula>
    </cfRule>
  </conditionalFormatting>
  <conditionalFormatting sqref="G62 I62 G63:O63 G65:O65">
    <cfRule type="containsText" dxfId="174" priority="154" operator="containsText" text="Max">
      <formula>NOT(ISERROR(SEARCH("Max",G62)))</formula>
    </cfRule>
    <cfRule type="containsText" dxfId="173" priority="155" operator="containsText" text="Min">
      <formula>NOT(ISERROR(SEARCH("Min",G62)))</formula>
    </cfRule>
    <cfRule type="containsText" dxfId="172" priority="156" operator="containsText" text="Specify ">
      <formula>NOT(ISERROR(SEARCH("Specify ",G62)))</formula>
    </cfRule>
  </conditionalFormatting>
  <conditionalFormatting sqref="H62">
    <cfRule type="containsText" dxfId="171" priority="151" operator="containsText" text="Max">
      <formula>NOT(ISERROR(SEARCH("Max",H62)))</formula>
    </cfRule>
    <cfRule type="containsText" dxfId="170" priority="152" operator="containsText" text="Min">
      <formula>NOT(ISERROR(SEARCH("Min",H62)))</formula>
    </cfRule>
    <cfRule type="containsText" dxfId="169" priority="153" operator="containsText" text="Specify ">
      <formula>NOT(ISERROR(SEARCH("Specify ",H62)))</formula>
    </cfRule>
  </conditionalFormatting>
  <conditionalFormatting sqref="J62 L62">
    <cfRule type="containsText" dxfId="168" priority="148" operator="containsText" text="Max">
      <formula>NOT(ISERROR(SEARCH("Max",J62)))</formula>
    </cfRule>
    <cfRule type="containsText" dxfId="167" priority="149" operator="containsText" text="Min">
      <formula>NOT(ISERROR(SEARCH("Min",J62)))</formula>
    </cfRule>
    <cfRule type="containsText" dxfId="166" priority="150" operator="containsText" text="Specify ">
      <formula>NOT(ISERROR(SEARCH("Specify ",J62)))</formula>
    </cfRule>
  </conditionalFormatting>
  <conditionalFormatting sqref="K62">
    <cfRule type="containsText" dxfId="165" priority="145" operator="containsText" text="Max">
      <formula>NOT(ISERROR(SEARCH("Max",K62)))</formula>
    </cfRule>
    <cfRule type="containsText" dxfId="164" priority="146" operator="containsText" text="Min">
      <formula>NOT(ISERROR(SEARCH("Min",K62)))</formula>
    </cfRule>
    <cfRule type="containsText" dxfId="163" priority="147" operator="containsText" text="Specify ">
      <formula>NOT(ISERROR(SEARCH("Specify ",K62)))</formula>
    </cfRule>
  </conditionalFormatting>
  <conditionalFormatting sqref="M62 O62">
    <cfRule type="containsText" dxfId="162" priority="142" operator="containsText" text="Max">
      <formula>NOT(ISERROR(SEARCH("Max",M62)))</formula>
    </cfRule>
    <cfRule type="containsText" dxfId="161" priority="143" operator="containsText" text="Min">
      <formula>NOT(ISERROR(SEARCH("Min",M62)))</formula>
    </cfRule>
    <cfRule type="containsText" dxfId="160" priority="144" operator="containsText" text="Specify ">
      <formula>NOT(ISERROR(SEARCH("Specify ",M62)))</formula>
    </cfRule>
  </conditionalFormatting>
  <conditionalFormatting sqref="N62">
    <cfRule type="containsText" dxfId="159" priority="139" operator="containsText" text="Max">
      <formula>NOT(ISERROR(SEARCH("Max",N62)))</formula>
    </cfRule>
    <cfRule type="containsText" dxfId="158" priority="140" operator="containsText" text="Min">
      <formula>NOT(ISERROR(SEARCH("Min",N62)))</formula>
    </cfRule>
    <cfRule type="containsText" dxfId="157" priority="141" operator="containsText" text="Specify ">
      <formula>NOT(ISERROR(SEARCH("Specify ",N62)))</formula>
    </cfRule>
  </conditionalFormatting>
  <conditionalFormatting sqref="G64 I64">
    <cfRule type="containsText" dxfId="156" priority="136" operator="containsText" text="Max">
      <formula>NOT(ISERROR(SEARCH("Max",G64)))</formula>
    </cfRule>
    <cfRule type="containsText" dxfId="155" priority="137" operator="containsText" text="Min">
      <formula>NOT(ISERROR(SEARCH("Min",G64)))</formula>
    </cfRule>
    <cfRule type="containsText" dxfId="154" priority="138" operator="containsText" text="Specify ">
      <formula>NOT(ISERROR(SEARCH("Specify ",G64)))</formula>
    </cfRule>
  </conditionalFormatting>
  <conditionalFormatting sqref="H64">
    <cfRule type="containsText" dxfId="153" priority="133" operator="containsText" text="Max">
      <formula>NOT(ISERROR(SEARCH("Max",H64)))</formula>
    </cfRule>
    <cfRule type="containsText" dxfId="152" priority="134" operator="containsText" text="Min">
      <formula>NOT(ISERROR(SEARCH("Min",H64)))</formula>
    </cfRule>
    <cfRule type="containsText" dxfId="151" priority="135" operator="containsText" text="Specify ">
      <formula>NOT(ISERROR(SEARCH("Specify ",H64)))</formula>
    </cfRule>
  </conditionalFormatting>
  <conditionalFormatting sqref="J64 L64">
    <cfRule type="containsText" dxfId="150" priority="130" operator="containsText" text="Max">
      <formula>NOT(ISERROR(SEARCH("Max",J64)))</formula>
    </cfRule>
    <cfRule type="containsText" dxfId="149" priority="131" operator="containsText" text="Min">
      <formula>NOT(ISERROR(SEARCH("Min",J64)))</formula>
    </cfRule>
    <cfRule type="containsText" dxfId="148" priority="132" operator="containsText" text="Specify ">
      <formula>NOT(ISERROR(SEARCH("Specify ",J64)))</formula>
    </cfRule>
  </conditionalFormatting>
  <conditionalFormatting sqref="K64">
    <cfRule type="containsText" dxfId="147" priority="127" operator="containsText" text="Max">
      <formula>NOT(ISERROR(SEARCH("Max",K64)))</formula>
    </cfRule>
    <cfRule type="containsText" dxfId="146" priority="128" operator="containsText" text="Min">
      <formula>NOT(ISERROR(SEARCH("Min",K64)))</formula>
    </cfRule>
    <cfRule type="containsText" dxfId="145" priority="129" operator="containsText" text="Specify ">
      <formula>NOT(ISERROR(SEARCH("Specify ",K64)))</formula>
    </cfRule>
  </conditionalFormatting>
  <conditionalFormatting sqref="M64 O64">
    <cfRule type="containsText" dxfId="144" priority="124" operator="containsText" text="Max">
      <formula>NOT(ISERROR(SEARCH("Max",M64)))</formula>
    </cfRule>
    <cfRule type="containsText" dxfId="143" priority="125" operator="containsText" text="Min">
      <formula>NOT(ISERROR(SEARCH("Min",M64)))</formula>
    </cfRule>
    <cfRule type="containsText" dxfId="142" priority="126" operator="containsText" text="Specify ">
      <formula>NOT(ISERROR(SEARCH("Specify ",M64)))</formula>
    </cfRule>
  </conditionalFormatting>
  <conditionalFormatting sqref="N64">
    <cfRule type="containsText" dxfId="141" priority="121" operator="containsText" text="Max">
      <formula>NOT(ISERROR(SEARCH("Max",N64)))</formula>
    </cfRule>
    <cfRule type="containsText" dxfId="140" priority="122" operator="containsText" text="Min">
      <formula>NOT(ISERROR(SEARCH("Min",N64)))</formula>
    </cfRule>
    <cfRule type="containsText" dxfId="139" priority="123" operator="containsText" text="Specify ">
      <formula>NOT(ISERROR(SEARCH("Specify ",N64)))</formula>
    </cfRule>
  </conditionalFormatting>
  <conditionalFormatting sqref="G66 I66 G67:O67">
    <cfRule type="containsText" dxfId="138" priority="118" operator="containsText" text="Max">
      <formula>NOT(ISERROR(SEARCH("Max",G66)))</formula>
    </cfRule>
    <cfRule type="containsText" dxfId="137" priority="119" operator="containsText" text="Min">
      <formula>NOT(ISERROR(SEARCH("Min",G66)))</formula>
    </cfRule>
    <cfRule type="containsText" dxfId="136" priority="120" operator="containsText" text="Specify ">
      <formula>NOT(ISERROR(SEARCH("Specify ",G66)))</formula>
    </cfRule>
  </conditionalFormatting>
  <conditionalFormatting sqref="H66">
    <cfRule type="containsText" dxfId="135" priority="115" operator="containsText" text="Max">
      <formula>NOT(ISERROR(SEARCH("Max",H66)))</formula>
    </cfRule>
    <cfRule type="containsText" dxfId="134" priority="116" operator="containsText" text="Min">
      <formula>NOT(ISERROR(SEARCH("Min",H66)))</formula>
    </cfRule>
    <cfRule type="containsText" dxfId="133" priority="117" operator="containsText" text="Specify ">
      <formula>NOT(ISERROR(SEARCH("Specify ",H66)))</formula>
    </cfRule>
  </conditionalFormatting>
  <conditionalFormatting sqref="J66 L66">
    <cfRule type="containsText" dxfId="132" priority="112" operator="containsText" text="Max">
      <formula>NOT(ISERROR(SEARCH("Max",J66)))</formula>
    </cfRule>
    <cfRule type="containsText" dxfId="131" priority="113" operator="containsText" text="Min">
      <formula>NOT(ISERROR(SEARCH("Min",J66)))</formula>
    </cfRule>
    <cfRule type="containsText" dxfId="130" priority="114" operator="containsText" text="Specify ">
      <formula>NOT(ISERROR(SEARCH("Specify ",J66)))</formula>
    </cfRule>
  </conditionalFormatting>
  <conditionalFormatting sqref="K66">
    <cfRule type="containsText" dxfId="129" priority="109" operator="containsText" text="Max">
      <formula>NOT(ISERROR(SEARCH("Max",K66)))</formula>
    </cfRule>
    <cfRule type="containsText" dxfId="128" priority="110" operator="containsText" text="Min">
      <formula>NOT(ISERROR(SEARCH("Min",K66)))</formula>
    </cfRule>
    <cfRule type="containsText" dxfId="127" priority="111" operator="containsText" text="Specify ">
      <formula>NOT(ISERROR(SEARCH("Specify ",K66)))</formula>
    </cfRule>
  </conditionalFormatting>
  <conditionalFormatting sqref="M66 O66">
    <cfRule type="containsText" dxfId="126" priority="106" operator="containsText" text="Max">
      <formula>NOT(ISERROR(SEARCH("Max",M66)))</formula>
    </cfRule>
    <cfRule type="containsText" dxfId="125" priority="107" operator="containsText" text="Min">
      <formula>NOT(ISERROR(SEARCH("Min",M66)))</formula>
    </cfRule>
    <cfRule type="containsText" dxfId="124" priority="108" operator="containsText" text="Specify ">
      <formula>NOT(ISERROR(SEARCH("Specify ",M66)))</formula>
    </cfRule>
  </conditionalFormatting>
  <conditionalFormatting sqref="N66">
    <cfRule type="containsText" dxfId="123" priority="103" operator="containsText" text="Max">
      <formula>NOT(ISERROR(SEARCH("Max",N66)))</formula>
    </cfRule>
    <cfRule type="containsText" dxfId="122" priority="104" operator="containsText" text="Min">
      <formula>NOT(ISERROR(SEARCH("Min",N66)))</formula>
    </cfRule>
    <cfRule type="containsText" dxfId="121" priority="105" operator="containsText" text="Specify ">
      <formula>NOT(ISERROR(SEARCH("Specify ",N66)))</formula>
    </cfRule>
  </conditionalFormatting>
  <conditionalFormatting sqref="G68 I68">
    <cfRule type="containsText" dxfId="120" priority="100" operator="containsText" text="Max">
      <formula>NOT(ISERROR(SEARCH("Max",G68)))</formula>
    </cfRule>
    <cfRule type="containsText" dxfId="119" priority="101" operator="containsText" text="Min">
      <formula>NOT(ISERROR(SEARCH("Min",G68)))</formula>
    </cfRule>
    <cfRule type="containsText" dxfId="118" priority="102" operator="containsText" text="Specify ">
      <formula>NOT(ISERROR(SEARCH("Specify ",G68)))</formula>
    </cfRule>
  </conditionalFormatting>
  <conditionalFormatting sqref="H68">
    <cfRule type="containsText" dxfId="117" priority="97" operator="containsText" text="Max">
      <formula>NOT(ISERROR(SEARCH("Max",H68)))</formula>
    </cfRule>
    <cfRule type="containsText" dxfId="116" priority="98" operator="containsText" text="Min">
      <formula>NOT(ISERROR(SEARCH("Min",H68)))</formula>
    </cfRule>
    <cfRule type="containsText" dxfId="115" priority="99" operator="containsText" text="Specify ">
      <formula>NOT(ISERROR(SEARCH("Specify ",H68)))</formula>
    </cfRule>
  </conditionalFormatting>
  <conditionalFormatting sqref="J68 L68">
    <cfRule type="containsText" dxfId="114" priority="94" operator="containsText" text="Max">
      <formula>NOT(ISERROR(SEARCH("Max",J68)))</formula>
    </cfRule>
    <cfRule type="containsText" dxfId="113" priority="95" operator="containsText" text="Min">
      <formula>NOT(ISERROR(SEARCH("Min",J68)))</formula>
    </cfRule>
    <cfRule type="containsText" dxfId="112" priority="96" operator="containsText" text="Specify ">
      <formula>NOT(ISERROR(SEARCH("Specify ",J68)))</formula>
    </cfRule>
  </conditionalFormatting>
  <conditionalFormatting sqref="K68">
    <cfRule type="containsText" dxfId="111" priority="91" operator="containsText" text="Max">
      <formula>NOT(ISERROR(SEARCH("Max",K68)))</formula>
    </cfRule>
    <cfRule type="containsText" dxfId="110" priority="92" operator="containsText" text="Min">
      <formula>NOT(ISERROR(SEARCH("Min",K68)))</formula>
    </cfRule>
    <cfRule type="containsText" dxfId="109" priority="93" operator="containsText" text="Specify ">
      <formula>NOT(ISERROR(SEARCH("Specify ",K68)))</formula>
    </cfRule>
  </conditionalFormatting>
  <conditionalFormatting sqref="M68 O68">
    <cfRule type="containsText" dxfId="108" priority="88" operator="containsText" text="Max">
      <formula>NOT(ISERROR(SEARCH("Max",M68)))</formula>
    </cfRule>
    <cfRule type="containsText" dxfId="107" priority="89" operator="containsText" text="Min">
      <formula>NOT(ISERROR(SEARCH("Min",M68)))</formula>
    </cfRule>
    <cfRule type="containsText" dxfId="106" priority="90" operator="containsText" text="Specify ">
      <formula>NOT(ISERROR(SEARCH("Specify ",M68)))</formula>
    </cfRule>
  </conditionalFormatting>
  <conditionalFormatting sqref="N68">
    <cfRule type="containsText" dxfId="105" priority="85" operator="containsText" text="Max">
      <formula>NOT(ISERROR(SEARCH("Max",N68)))</formula>
    </cfRule>
    <cfRule type="containsText" dxfId="104" priority="86" operator="containsText" text="Min">
      <formula>NOT(ISERROR(SEARCH("Min",N68)))</formula>
    </cfRule>
    <cfRule type="containsText" dxfId="103" priority="87" operator="containsText" text="Specify ">
      <formula>NOT(ISERROR(SEARCH("Specify ",N68)))</formula>
    </cfRule>
  </conditionalFormatting>
  <conditionalFormatting sqref="G72:O72">
    <cfRule type="containsText" dxfId="102" priority="82" operator="containsText" text="Max">
      <formula>NOT(ISERROR(SEARCH("Max",G72)))</formula>
    </cfRule>
    <cfRule type="containsText" dxfId="101" priority="83" operator="containsText" text="Min">
      <formula>NOT(ISERROR(SEARCH("Min",G72)))</formula>
    </cfRule>
    <cfRule type="containsText" dxfId="100" priority="84" operator="containsText" text="Specify ">
      <formula>NOT(ISERROR(SEARCH("Specify ",G72)))</formula>
    </cfRule>
  </conditionalFormatting>
  <conditionalFormatting sqref="G73 I73 G74:O74 G76:O76">
    <cfRule type="containsText" dxfId="99" priority="79" operator="containsText" text="Max">
      <formula>NOT(ISERROR(SEARCH("Max",G73)))</formula>
    </cfRule>
    <cfRule type="containsText" dxfId="98" priority="80" operator="containsText" text="Min">
      <formula>NOT(ISERROR(SEARCH("Min",G73)))</formula>
    </cfRule>
    <cfRule type="containsText" dxfId="97" priority="81" operator="containsText" text="Specify ">
      <formula>NOT(ISERROR(SEARCH("Specify ",G73)))</formula>
    </cfRule>
  </conditionalFormatting>
  <conditionalFormatting sqref="H73">
    <cfRule type="containsText" dxfId="96" priority="76" operator="containsText" text="Max">
      <formula>NOT(ISERROR(SEARCH("Max",H73)))</formula>
    </cfRule>
    <cfRule type="containsText" dxfId="95" priority="77" operator="containsText" text="Min">
      <formula>NOT(ISERROR(SEARCH("Min",H73)))</formula>
    </cfRule>
    <cfRule type="containsText" dxfId="94" priority="78" operator="containsText" text="Specify ">
      <formula>NOT(ISERROR(SEARCH("Specify ",H73)))</formula>
    </cfRule>
  </conditionalFormatting>
  <conditionalFormatting sqref="J73 L73">
    <cfRule type="containsText" dxfId="93" priority="73" operator="containsText" text="Max">
      <formula>NOT(ISERROR(SEARCH("Max",J73)))</formula>
    </cfRule>
    <cfRule type="containsText" dxfId="92" priority="74" operator="containsText" text="Min">
      <formula>NOT(ISERROR(SEARCH("Min",J73)))</formula>
    </cfRule>
    <cfRule type="containsText" dxfId="91" priority="75" operator="containsText" text="Specify ">
      <formula>NOT(ISERROR(SEARCH("Specify ",J73)))</formula>
    </cfRule>
  </conditionalFormatting>
  <conditionalFormatting sqref="K73">
    <cfRule type="containsText" dxfId="90" priority="70" operator="containsText" text="Max">
      <formula>NOT(ISERROR(SEARCH("Max",K73)))</formula>
    </cfRule>
    <cfRule type="containsText" dxfId="89" priority="71" operator="containsText" text="Min">
      <formula>NOT(ISERROR(SEARCH("Min",K73)))</formula>
    </cfRule>
    <cfRule type="containsText" dxfId="88" priority="72" operator="containsText" text="Specify ">
      <formula>NOT(ISERROR(SEARCH("Specify ",K73)))</formula>
    </cfRule>
  </conditionalFormatting>
  <conditionalFormatting sqref="M73 O73">
    <cfRule type="containsText" dxfId="87" priority="67" operator="containsText" text="Max">
      <formula>NOT(ISERROR(SEARCH("Max",M73)))</formula>
    </cfRule>
    <cfRule type="containsText" dxfId="86" priority="68" operator="containsText" text="Min">
      <formula>NOT(ISERROR(SEARCH("Min",M73)))</formula>
    </cfRule>
    <cfRule type="containsText" dxfId="85" priority="69" operator="containsText" text="Specify ">
      <formula>NOT(ISERROR(SEARCH("Specify ",M73)))</formula>
    </cfRule>
  </conditionalFormatting>
  <conditionalFormatting sqref="N73">
    <cfRule type="containsText" dxfId="84" priority="64" operator="containsText" text="Max">
      <formula>NOT(ISERROR(SEARCH("Max",N73)))</formula>
    </cfRule>
    <cfRule type="containsText" dxfId="83" priority="65" operator="containsText" text="Min">
      <formula>NOT(ISERROR(SEARCH("Min",N73)))</formula>
    </cfRule>
    <cfRule type="containsText" dxfId="82" priority="66" operator="containsText" text="Specify ">
      <formula>NOT(ISERROR(SEARCH("Specify ",N73)))</formula>
    </cfRule>
  </conditionalFormatting>
  <conditionalFormatting sqref="G75 I75">
    <cfRule type="containsText" dxfId="81" priority="61" operator="containsText" text="Max">
      <formula>NOT(ISERROR(SEARCH("Max",G75)))</formula>
    </cfRule>
    <cfRule type="containsText" dxfId="80" priority="62" operator="containsText" text="Min">
      <formula>NOT(ISERROR(SEARCH("Min",G75)))</formula>
    </cfRule>
    <cfRule type="containsText" dxfId="79" priority="63" operator="containsText" text="Specify ">
      <formula>NOT(ISERROR(SEARCH("Specify ",G75)))</formula>
    </cfRule>
  </conditionalFormatting>
  <conditionalFormatting sqref="H75">
    <cfRule type="containsText" dxfId="78" priority="58" operator="containsText" text="Max">
      <formula>NOT(ISERROR(SEARCH("Max",H75)))</formula>
    </cfRule>
    <cfRule type="containsText" dxfId="77" priority="59" operator="containsText" text="Min">
      <formula>NOT(ISERROR(SEARCH("Min",H75)))</formula>
    </cfRule>
    <cfRule type="containsText" dxfId="76" priority="60" operator="containsText" text="Specify ">
      <formula>NOT(ISERROR(SEARCH("Specify ",H75)))</formula>
    </cfRule>
  </conditionalFormatting>
  <conditionalFormatting sqref="J75 L75">
    <cfRule type="containsText" dxfId="75" priority="55" operator="containsText" text="Max">
      <formula>NOT(ISERROR(SEARCH("Max",J75)))</formula>
    </cfRule>
    <cfRule type="containsText" dxfId="74" priority="56" operator="containsText" text="Min">
      <formula>NOT(ISERROR(SEARCH("Min",J75)))</formula>
    </cfRule>
    <cfRule type="containsText" dxfId="73" priority="57" operator="containsText" text="Specify ">
      <formula>NOT(ISERROR(SEARCH("Specify ",J75)))</formula>
    </cfRule>
  </conditionalFormatting>
  <conditionalFormatting sqref="K75">
    <cfRule type="containsText" dxfId="72" priority="52" operator="containsText" text="Max">
      <formula>NOT(ISERROR(SEARCH("Max",K75)))</formula>
    </cfRule>
    <cfRule type="containsText" dxfId="71" priority="53" operator="containsText" text="Min">
      <formula>NOT(ISERROR(SEARCH("Min",K75)))</formula>
    </cfRule>
    <cfRule type="containsText" dxfId="70" priority="54" operator="containsText" text="Specify ">
      <formula>NOT(ISERROR(SEARCH("Specify ",K75)))</formula>
    </cfRule>
  </conditionalFormatting>
  <conditionalFormatting sqref="M75 O75">
    <cfRule type="containsText" dxfId="69" priority="49" operator="containsText" text="Max">
      <formula>NOT(ISERROR(SEARCH("Max",M75)))</formula>
    </cfRule>
    <cfRule type="containsText" dxfId="68" priority="50" operator="containsText" text="Min">
      <formula>NOT(ISERROR(SEARCH("Min",M75)))</formula>
    </cfRule>
    <cfRule type="containsText" dxfId="67" priority="51" operator="containsText" text="Specify ">
      <formula>NOT(ISERROR(SEARCH("Specify ",M75)))</formula>
    </cfRule>
  </conditionalFormatting>
  <conditionalFormatting sqref="N75">
    <cfRule type="containsText" dxfId="66" priority="46" operator="containsText" text="Max">
      <formula>NOT(ISERROR(SEARCH("Max",N75)))</formula>
    </cfRule>
    <cfRule type="containsText" dxfId="65" priority="47" operator="containsText" text="Min">
      <formula>NOT(ISERROR(SEARCH("Min",N75)))</formula>
    </cfRule>
    <cfRule type="containsText" dxfId="64" priority="48" operator="containsText" text="Specify ">
      <formula>NOT(ISERROR(SEARCH("Specify ",N75)))</formula>
    </cfRule>
  </conditionalFormatting>
  <conditionalFormatting sqref="G77 I77 G78:O78">
    <cfRule type="containsText" dxfId="63" priority="43" operator="containsText" text="Max">
      <formula>NOT(ISERROR(SEARCH("Max",G77)))</formula>
    </cfRule>
    <cfRule type="containsText" dxfId="62" priority="44" operator="containsText" text="Min">
      <formula>NOT(ISERROR(SEARCH("Min",G77)))</formula>
    </cfRule>
    <cfRule type="containsText" dxfId="61" priority="45" operator="containsText" text="Specify ">
      <formula>NOT(ISERROR(SEARCH("Specify ",G77)))</formula>
    </cfRule>
  </conditionalFormatting>
  <conditionalFormatting sqref="H77">
    <cfRule type="containsText" dxfId="60" priority="40" operator="containsText" text="Max">
      <formula>NOT(ISERROR(SEARCH("Max",H77)))</formula>
    </cfRule>
    <cfRule type="containsText" dxfId="59" priority="41" operator="containsText" text="Min">
      <formula>NOT(ISERROR(SEARCH("Min",H77)))</formula>
    </cfRule>
    <cfRule type="containsText" dxfId="58" priority="42" operator="containsText" text="Specify ">
      <formula>NOT(ISERROR(SEARCH("Specify ",H77)))</formula>
    </cfRule>
  </conditionalFormatting>
  <conditionalFormatting sqref="J77 L77">
    <cfRule type="containsText" dxfId="57" priority="37" operator="containsText" text="Max">
      <formula>NOT(ISERROR(SEARCH("Max",J77)))</formula>
    </cfRule>
    <cfRule type="containsText" dxfId="56" priority="38" operator="containsText" text="Min">
      <formula>NOT(ISERROR(SEARCH("Min",J77)))</formula>
    </cfRule>
    <cfRule type="containsText" dxfId="55" priority="39" operator="containsText" text="Specify ">
      <formula>NOT(ISERROR(SEARCH("Specify ",J77)))</formula>
    </cfRule>
  </conditionalFormatting>
  <conditionalFormatting sqref="K77">
    <cfRule type="containsText" dxfId="54" priority="34" operator="containsText" text="Max">
      <formula>NOT(ISERROR(SEARCH("Max",K77)))</formula>
    </cfRule>
    <cfRule type="containsText" dxfId="53" priority="35" operator="containsText" text="Min">
      <formula>NOT(ISERROR(SEARCH("Min",K77)))</formula>
    </cfRule>
    <cfRule type="containsText" dxfId="52" priority="36" operator="containsText" text="Specify ">
      <formula>NOT(ISERROR(SEARCH("Specify ",K77)))</formula>
    </cfRule>
  </conditionalFormatting>
  <conditionalFormatting sqref="M77 O77">
    <cfRule type="containsText" dxfId="51" priority="31" operator="containsText" text="Max">
      <formula>NOT(ISERROR(SEARCH("Max",M77)))</formula>
    </cfRule>
    <cfRule type="containsText" dxfId="50" priority="32" operator="containsText" text="Min">
      <formula>NOT(ISERROR(SEARCH("Min",M77)))</formula>
    </cfRule>
    <cfRule type="containsText" dxfId="49" priority="33" operator="containsText" text="Specify ">
      <formula>NOT(ISERROR(SEARCH("Specify ",M77)))</formula>
    </cfRule>
  </conditionalFormatting>
  <conditionalFormatting sqref="N77">
    <cfRule type="containsText" dxfId="48" priority="28" operator="containsText" text="Max">
      <formula>NOT(ISERROR(SEARCH("Max",N77)))</formula>
    </cfRule>
    <cfRule type="containsText" dxfId="47" priority="29" operator="containsText" text="Min">
      <formula>NOT(ISERROR(SEARCH("Min",N77)))</formula>
    </cfRule>
    <cfRule type="containsText" dxfId="46" priority="30" operator="containsText" text="Specify ">
      <formula>NOT(ISERROR(SEARCH("Specify ",N77)))</formula>
    </cfRule>
  </conditionalFormatting>
  <conditionalFormatting sqref="G79 I79">
    <cfRule type="containsText" dxfId="45" priority="25" operator="containsText" text="Max">
      <formula>NOT(ISERROR(SEARCH("Max",G79)))</formula>
    </cfRule>
    <cfRule type="containsText" dxfId="44" priority="26" operator="containsText" text="Min">
      <formula>NOT(ISERROR(SEARCH("Min",G79)))</formula>
    </cfRule>
    <cfRule type="containsText" dxfId="43" priority="27" operator="containsText" text="Specify ">
      <formula>NOT(ISERROR(SEARCH("Specify ",G79)))</formula>
    </cfRule>
  </conditionalFormatting>
  <conditionalFormatting sqref="H79">
    <cfRule type="containsText" dxfId="42" priority="22" operator="containsText" text="Max">
      <formula>NOT(ISERROR(SEARCH("Max",H79)))</formula>
    </cfRule>
    <cfRule type="containsText" dxfId="41" priority="23" operator="containsText" text="Min">
      <formula>NOT(ISERROR(SEARCH("Min",H79)))</formula>
    </cfRule>
    <cfRule type="containsText" dxfId="40" priority="24" operator="containsText" text="Specify ">
      <formula>NOT(ISERROR(SEARCH("Specify ",H79)))</formula>
    </cfRule>
  </conditionalFormatting>
  <conditionalFormatting sqref="J79 L79">
    <cfRule type="containsText" dxfId="39" priority="19" operator="containsText" text="Max">
      <formula>NOT(ISERROR(SEARCH("Max",J79)))</formula>
    </cfRule>
    <cfRule type="containsText" dxfId="38" priority="20" operator="containsText" text="Min">
      <formula>NOT(ISERROR(SEARCH("Min",J79)))</formula>
    </cfRule>
    <cfRule type="containsText" dxfId="37" priority="21" operator="containsText" text="Specify ">
      <formula>NOT(ISERROR(SEARCH("Specify ",J79)))</formula>
    </cfRule>
  </conditionalFormatting>
  <conditionalFormatting sqref="K79">
    <cfRule type="containsText" dxfId="36" priority="16" operator="containsText" text="Max">
      <formula>NOT(ISERROR(SEARCH("Max",K79)))</formula>
    </cfRule>
    <cfRule type="containsText" dxfId="35" priority="17" operator="containsText" text="Min">
      <formula>NOT(ISERROR(SEARCH("Min",K79)))</formula>
    </cfRule>
    <cfRule type="containsText" dxfId="34" priority="18" operator="containsText" text="Specify ">
      <formula>NOT(ISERROR(SEARCH("Specify ",K79)))</formula>
    </cfRule>
  </conditionalFormatting>
  <conditionalFormatting sqref="M79 O79">
    <cfRule type="containsText" dxfId="33" priority="13" operator="containsText" text="Max">
      <formula>NOT(ISERROR(SEARCH("Max",M79)))</formula>
    </cfRule>
    <cfRule type="containsText" dxfId="32" priority="14" operator="containsText" text="Min">
      <formula>NOT(ISERROR(SEARCH("Min",M79)))</formula>
    </cfRule>
    <cfRule type="containsText" dxfId="31" priority="15" operator="containsText" text="Specify ">
      <formula>NOT(ISERROR(SEARCH("Specify ",M79)))</formula>
    </cfRule>
  </conditionalFormatting>
  <conditionalFormatting sqref="N79">
    <cfRule type="containsText" dxfId="30" priority="10" operator="containsText" text="Max">
      <formula>NOT(ISERROR(SEARCH("Max",N79)))</formula>
    </cfRule>
    <cfRule type="containsText" dxfId="29" priority="11" operator="containsText" text="Min">
      <formula>NOT(ISERROR(SEARCH("Min",N79)))</formula>
    </cfRule>
    <cfRule type="containsText" dxfId="28" priority="12" operator="containsText" text="Specify ">
      <formula>NOT(ISERROR(SEARCH("Specify ",N79)))</formula>
    </cfRule>
  </conditionalFormatting>
  <conditionalFormatting sqref="Q5:S6">
    <cfRule type="containsText" dxfId="27" priority="9" operator="containsText" text="DD-MM-YYYY">
      <formula>NOT(ISERROR(SEARCH("DD-MM-YYYY",Q5)))</formula>
    </cfRule>
  </conditionalFormatting>
  <conditionalFormatting sqref="Q4:S4">
    <cfRule type="containsText" dxfId="26" priority="8" operator="containsText" text="Specify technology option name here">
      <formula>NOT(ISERROR(SEARCH("Specify technology option name here",Q4)))</formula>
    </cfRule>
  </conditionalFormatting>
  <conditionalFormatting sqref="B91">
    <cfRule type="containsText" dxfId="25" priority="7" operator="containsText" text="Specify data sources and references here">
      <formula>NOT(ISERROR(SEARCH("Specify data sources and references here",B91)))</formula>
    </cfRule>
  </conditionalFormatting>
  <conditionalFormatting sqref="B92">
    <cfRule type="containsText" dxfId="24" priority="6" operator="containsText" text="Specify data sources and references here">
      <formula>NOT(ISERROR(SEARCH("Specify data sources and references here",B92)))</formula>
    </cfRule>
  </conditionalFormatting>
  <conditionalFormatting sqref="B93">
    <cfRule type="containsText" dxfId="23" priority="5" operator="containsText" text="Specify data sources and references here">
      <formula>NOT(ISERROR(SEARCH("Specify data sources and references here",B93)))</formula>
    </cfRule>
  </conditionalFormatting>
  <conditionalFormatting sqref="B94">
    <cfRule type="containsText" dxfId="22" priority="4" operator="containsText" text="Specify data sources and references here">
      <formula>NOT(ISERROR(SEARCH("Specify data sources and references here",B94)))</formula>
    </cfRule>
  </conditionalFormatting>
  <conditionalFormatting sqref="B95">
    <cfRule type="containsText" dxfId="21" priority="3" operator="containsText" text="Specify data sources and references here">
      <formula>NOT(ISERROR(SEARCH("Specify data sources and references here",B95)))</formula>
    </cfRule>
  </conditionalFormatting>
  <conditionalFormatting sqref="B96">
    <cfRule type="containsText" dxfId="20" priority="2" operator="containsText" text="Specify data sources and references here">
      <formula>NOT(ISERROR(SEARCH("Specify data sources and references here",B96)))</formula>
    </cfRule>
  </conditionalFormatting>
  <conditionalFormatting sqref="B97">
    <cfRule type="containsText" dxfId="19" priority="1" operator="containsText" text="Specify data sources and references here">
      <formula>NOT(ISERROR(SEARCH("Specify data sources and references here",B97)))</formula>
    </cfRule>
  </conditionalFormatting>
  <pageMargins left="0.7" right="0.7" top="0.75" bottom="0.75" header="0.3" footer="0.3"/>
  <pageSetup paperSize="9" scale="4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EE1BD-0202-42D8-86D2-86D03AAF1A01}">
  <sheetPr>
    <pageSetUpPr fitToPage="1"/>
  </sheetPr>
  <dimension ref="A1:Z84"/>
  <sheetViews>
    <sheetView zoomScale="80" zoomScaleNormal="80" workbookViewId="0">
      <pane ySplit="1" topLeftCell="A2" activePane="bottomLeft" state="frozen"/>
      <selection activeCell="D9" sqref="F9"/>
      <selection pane="bottomLeft" activeCell="D9" sqref="F9"/>
    </sheetView>
  </sheetViews>
  <sheetFormatPr defaultColWidth="9" defaultRowHeight="15.75" x14ac:dyDescent="0.25"/>
  <cols>
    <col min="1" max="1" width="10.25" style="1" bestFit="1" customWidth="1"/>
    <col min="2" max="2" width="24" style="1" bestFit="1" customWidth="1"/>
    <col min="3" max="3" width="10.25" style="1" bestFit="1" customWidth="1"/>
    <col min="4" max="6" width="18.375" style="1" customWidth="1"/>
    <col min="7" max="7" width="10.25" style="1" bestFit="1" customWidth="1"/>
    <col min="8" max="8" width="13.875" style="1" bestFit="1" customWidth="1"/>
    <col min="9" max="9" width="10.25" style="1" bestFit="1" customWidth="1"/>
    <col min="10" max="11" width="10.25" style="1" customWidth="1"/>
    <col min="12" max="12" width="25.75" style="1" customWidth="1"/>
    <col min="13" max="13" width="10.25" style="1" bestFit="1" customWidth="1"/>
    <col min="14" max="14" width="19.375" style="1" bestFit="1" customWidth="1"/>
    <col min="15" max="15" width="10.25" style="1" bestFit="1" customWidth="1"/>
    <col min="16" max="16" width="14" style="1" customWidth="1"/>
    <col min="17" max="17" width="10.25" style="1" bestFit="1" customWidth="1"/>
    <col min="18" max="18" width="13.125" style="1" bestFit="1" customWidth="1"/>
    <col min="19" max="19" width="10.25" style="1" bestFit="1" customWidth="1"/>
    <col min="20" max="20" width="14.5" style="1" bestFit="1" customWidth="1"/>
    <col min="21" max="25" width="9" style="1"/>
    <col min="26" max="26" width="9" style="1" hidden="1" customWidth="1"/>
    <col min="27" max="16384" width="9" style="1"/>
  </cols>
  <sheetData>
    <row r="1" spans="1:26" x14ac:dyDescent="0.25">
      <c r="A1" s="16"/>
      <c r="B1" s="16" t="s">
        <v>305</v>
      </c>
      <c r="D1" s="16" t="s">
        <v>306</v>
      </c>
      <c r="E1" s="16"/>
      <c r="F1" s="16" t="s">
        <v>307</v>
      </c>
      <c r="G1" s="16"/>
      <c r="H1" s="16" t="s">
        <v>308</v>
      </c>
      <c r="J1" s="16" t="s">
        <v>309</v>
      </c>
      <c r="L1" s="16" t="s">
        <v>310</v>
      </c>
      <c r="M1" s="16"/>
      <c r="N1" s="16" t="s">
        <v>311</v>
      </c>
      <c r="O1" s="16"/>
      <c r="P1" s="16" t="s">
        <v>312</v>
      </c>
      <c r="Q1" s="16"/>
      <c r="R1" s="16" t="s">
        <v>313</v>
      </c>
      <c r="S1" s="16"/>
      <c r="T1" s="16" t="s">
        <v>314</v>
      </c>
    </row>
    <row r="2" spans="1:26" hidden="1" x14ac:dyDescent="0.25">
      <c r="A2" s="16"/>
      <c r="B2" s="16"/>
      <c r="D2" s="16"/>
      <c r="E2" s="16"/>
      <c r="F2" s="16"/>
      <c r="G2" s="16"/>
      <c r="H2" s="16"/>
      <c r="L2" s="17" t="s">
        <v>315</v>
      </c>
      <c r="M2" s="16"/>
      <c r="N2" s="16"/>
      <c r="O2" s="16"/>
      <c r="P2" s="16"/>
      <c r="Q2" s="16"/>
      <c r="R2" s="16"/>
      <c r="S2" s="16"/>
      <c r="T2" s="16"/>
      <c r="Z2" s="17" t="s">
        <v>264</v>
      </c>
    </row>
    <row r="3" spans="1:26" hidden="1" x14ac:dyDescent="0.25">
      <c r="A3" s="17"/>
      <c r="B3" s="17" t="s">
        <v>264</v>
      </c>
      <c r="D3" s="17" t="s">
        <v>264</v>
      </c>
      <c r="E3" s="17"/>
      <c r="F3" s="17" t="s">
        <v>264</v>
      </c>
      <c r="G3" s="17"/>
      <c r="H3" s="17" t="s">
        <v>264</v>
      </c>
      <c r="I3" s="17"/>
      <c r="J3" s="17" t="s">
        <v>316</v>
      </c>
      <c r="K3" s="17"/>
      <c r="L3" s="17" t="s">
        <v>264</v>
      </c>
      <c r="M3" s="17"/>
      <c r="N3" s="17" t="s">
        <v>264</v>
      </c>
      <c r="O3" s="6"/>
      <c r="P3" s="17" t="s">
        <v>264</v>
      </c>
      <c r="Q3" s="17"/>
      <c r="R3" s="17" t="s">
        <v>264</v>
      </c>
      <c r="S3" s="17"/>
      <c r="T3" s="17" t="s">
        <v>264</v>
      </c>
      <c r="Z3" s="1" t="s">
        <v>213</v>
      </c>
    </row>
    <row r="4" spans="1:26" x14ac:dyDescent="0.25">
      <c r="B4" s="1" t="s">
        <v>317</v>
      </c>
      <c r="D4" s="1" t="s">
        <v>318</v>
      </c>
      <c r="F4" s="1" t="s">
        <v>527</v>
      </c>
      <c r="H4" s="1" t="s">
        <v>319</v>
      </c>
      <c r="J4" s="1" t="s">
        <v>257</v>
      </c>
      <c r="L4" s="1" t="s">
        <v>320</v>
      </c>
      <c r="N4" s="39" t="s">
        <v>31</v>
      </c>
      <c r="O4" s="6"/>
      <c r="P4" s="36"/>
      <c r="R4" s="1" t="s">
        <v>321</v>
      </c>
      <c r="T4" s="1" t="s">
        <v>160</v>
      </c>
      <c r="Z4" s="1" t="s">
        <v>322</v>
      </c>
    </row>
    <row r="5" spans="1:26" x14ac:dyDescent="0.25">
      <c r="B5" s="1" t="s">
        <v>323</v>
      </c>
      <c r="D5" s="1" t="s">
        <v>324</v>
      </c>
      <c r="F5" s="1" t="s">
        <v>217</v>
      </c>
      <c r="H5" s="1" t="s">
        <v>21</v>
      </c>
      <c r="J5" s="1" t="s">
        <v>31</v>
      </c>
      <c r="L5" s="1" t="s">
        <v>325</v>
      </c>
      <c r="M5" s="6" t="s">
        <v>326</v>
      </c>
      <c r="N5" s="36"/>
      <c r="O5" s="6" t="s">
        <v>326</v>
      </c>
      <c r="R5" s="1" t="s">
        <v>327</v>
      </c>
      <c r="T5" s="1" t="s">
        <v>162</v>
      </c>
    </row>
    <row r="6" spans="1:26" x14ac:dyDescent="0.25">
      <c r="B6" s="1" t="s">
        <v>210</v>
      </c>
      <c r="D6" s="1" t="s">
        <v>328</v>
      </c>
      <c r="F6" s="1" t="s">
        <v>160</v>
      </c>
      <c r="H6" s="1" t="s">
        <v>329</v>
      </c>
      <c r="J6" s="1" t="s">
        <v>330</v>
      </c>
      <c r="L6" s="1" t="s">
        <v>331</v>
      </c>
      <c r="M6" s="6" t="s">
        <v>326</v>
      </c>
      <c r="N6" s="36"/>
      <c r="O6" s="6" t="s">
        <v>326</v>
      </c>
      <c r="R6" s="1" t="s">
        <v>332</v>
      </c>
      <c r="T6" s="1" t="s">
        <v>333</v>
      </c>
      <c r="Z6" s="1" t="s">
        <v>264</v>
      </c>
    </row>
    <row r="7" spans="1:26" x14ac:dyDescent="0.25">
      <c r="B7" s="1" t="s">
        <v>334</v>
      </c>
      <c r="D7" s="1" t="s">
        <v>335</v>
      </c>
      <c r="F7" s="1" t="s">
        <v>162</v>
      </c>
      <c r="H7" s="1" t="s">
        <v>336</v>
      </c>
      <c r="L7" s="1" t="s">
        <v>337</v>
      </c>
      <c r="M7" s="6" t="s">
        <v>326</v>
      </c>
      <c r="N7" s="36"/>
      <c r="O7" s="6" t="s">
        <v>326</v>
      </c>
      <c r="R7" s="1" t="s">
        <v>338</v>
      </c>
      <c r="S7" s="6" t="s">
        <v>326</v>
      </c>
      <c r="Z7" s="1" t="s">
        <v>246</v>
      </c>
    </row>
    <row r="8" spans="1:26" x14ac:dyDescent="0.25">
      <c r="B8" s="1" t="s">
        <v>339</v>
      </c>
      <c r="D8" s="1" t="s">
        <v>212</v>
      </c>
      <c r="F8" s="1" t="s">
        <v>164</v>
      </c>
      <c r="H8" s="1" t="s">
        <v>340</v>
      </c>
      <c r="L8" s="1" t="s">
        <v>341</v>
      </c>
      <c r="M8" s="6" t="s">
        <v>326</v>
      </c>
      <c r="O8" s="6" t="s">
        <v>326</v>
      </c>
      <c r="R8" s="1" t="s">
        <v>342</v>
      </c>
      <c r="S8" s="6" t="s">
        <v>326</v>
      </c>
      <c r="Z8" s="1" t="s">
        <v>25</v>
      </c>
    </row>
    <row r="9" spans="1:26" x14ac:dyDescent="0.25">
      <c r="B9" s="1" t="s">
        <v>343</v>
      </c>
      <c r="C9" s="6"/>
      <c r="D9" s="1" t="s">
        <v>344</v>
      </c>
      <c r="F9" s="1" t="s">
        <v>166</v>
      </c>
      <c r="H9" s="1" t="s">
        <v>345</v>
      </c>
      <c r="L9" s="1" t="s">
        <v>346</v>
      </c>
      <c r="M9" s="6" t="s">
        <v>326</v>
      </c>
      <c r="O9" s="6" t="s">
        <v>326</v>
      </c>
      <c r="R9" s="1" t="s">
        <v>347</v>
      </c>
      <c r="S9" s="6" t="s">
        <v>326</v>
      </c>
    </row>
    <row r="10" spans="1:26" x14ac:dyDescent="0.25">
      <c r="B10" s="1" t="s">
        <v>348</v>
      </c>
      <c r="C10" s="6"/>
      <c r="D10" s="1" t="s">
        <v>349</v>
      </c>
      <c r="F10" s="1" t="s">
        <v>168</v>
      </c>
      <c r="H10" s="1" t="s">
        <v>350</v>
      </c>
      <c r="L10" s="1" t="s">
        <v>351</v>
      </c>
      <c r="O10" s="6" t="s">
        <v>326</v>
      </c>
      <c r="R10" s="1" t="s">
        <v>352</v>
      </c>
      <c r="S10" s="6" t="s">
        <v>326</v>
      </c>
      <c r="Z10" s="17" t="s">
        <v>353</v>
      </c>
    </row>
    <row r="11" spans="1:26" x14ac:dyDescent="0.25">
      <c r="B11" s="1" t="s">
        <v>354</v>
      </c>
      <c r="C11" s="6"/>
      <c r="D11" s="1" t="s">
        <v>355</v>
      </c>
      <c r="F11" s="1" t="s">
        <v>170</v>
      </c>
      <c r="G11" s="6" t="s">
        <v>326</v>
      </c>
      <c r="L11" s="1" t="s">
        <v>356</v>
      </c>
      <c r="O11" s="6" t="s">
        <v>326</v>
      </c>
      <c r="R11" s="1" t="s">
        <v>357</v>
      </c>
      <c r="S11" s="6" t="s">
        <v>326</v>
      </c>
      <c r="Z11" s="1" t="s">
        <v>229</v>
      </c>
    </row>
    <row r="12" spans="1:26" x14ac:dyDescent="0.25">
      <c r="B12" s="1" t="s">
        <v>358</v>
      </c>
      <c r="C12" s="6"/>
      <c r="D12" s="1" t="s">
        <v>359</v>
      </c>
      <c r="F12" s="1" t="s">
        <v>31</v>
      </c>
      <c r="G12" s="6" t="s">
        <v>326</v>
      </c>
      <c r="L12" s="1" t="s">
        <v>360</v>
      </c>
      <c r="O12" s="6" t="s">
        <v>326</v>
      </c>
      <c r="R12" s="1" t="s">
        <v>361</v>
      </c>
      <c r="Z12" s="1" t="s">
        <v>362</v>
      </c>
    </row>
    <row r="13" spans="1:26" x14ac:dyDescent="0.25">
      <c r="B13" s="1" t="s">
        <v>363</v>
      </c>
      <c r="C13" s="6" t="s">
        <v>326</v>
      </c>
      <c r="E13" s="6"/>
      <c r="F13" s="1" t="s">
        <v>364</v>
      </c>
      <c r="G13" s="6" t="s">
        <v>326</v>
      </c>
      <c r="L13" s="1" t="s">
        <v>365</v>
      </c>
      <c r="O13" s="6" t="s">
        <v>326</v>
      </c>
      <c r="R13" s="1" t="s">
        <v>366</v>
      </c>
      <c r="Z13" s="1" t="s">
        <v>367</v>
      </c>
    </row>
    <row r="14" spans="1:26" x14ac:dyDescent="0.25">
      <c r="B14" s="1" t="s">
        <v>368</v>
      </c>
      <c r="C14" s="6" t="s">
        <v>326</v>
      </c>
      <c r="E14" s="6" t="s">
        <v>326</v>
      </c>
      <c r="G14" s="6" t="s">
        <v>326</v>
      </c>
      <c r="L14" s="39" t="s">
        <v>369</v>
      </c>
      <c r="Q14" s="6" t="s">
        <v>326</v>
      </c>
    </row>
    <row r="15" spans="1:26" x14ac:dyDescent="0.25">
      <c r="B15" s="1" t="s">
        <v>370</v>
      </c>
      <c r="C15" s="6" t="s">
        <v>326</v>
      </c>
      <c r="E15" s="6" t="s">
        <v>326</v>
      </c>
      <c r="G15" s="6" t="s">
        <v>326</v>
      </c>
      <c r="L15" s="39" t="s">
        <v>371</v>
      </c>
      <c r="Q15" s="6" t="s">
        <v>326</v>
      </c>
      <c r="Z15" s="1" t="s">
        <v>251</v>
      </c>
    </row>
    <row r="16" spans="1:26" x14ac:dyDescent="0.25">
      <c r="B16" s="1" t="s">
        <v>372</v>
      </c>
      <c r="C16" s="6" t="s">
        <v>326</v>
      </c>
      <c r="E16" s="6" t="s">
        <v>326</v>
      </c>
      <c r="L16" s="39" t="s">
        <v>373</v>
      </c>
      <c r="Q16" s="6" t="s">
        <v>326</v>
      </c>
      <c r="Z16" s="1" t="s">
        <v>374</v>
      </c>
    </row>
    <row r="17" spans="1:17" x14ac:dyDescent="0.25">
      <c r="B17" s="1" t="s">
        <v>375</v>
      </c>
      <c r="C17" s="6" t="s">
        <v>326</v>
      </c>
      <c r="E17" s="6" t="s">
        <v>326</v>
      </c>
      <c r="L17" s="39" t="s">
        <v>376</v>
      </c>
      <c r="Q17" s="6" t="s">
        <v>326</v>
      </c>
    </row>
    <row r="18" spans="1:17" x14ac:dyDescent="0.25">
      <c r="B18" s="1" t="s">
        <v>377</v>
      </c>
      <c r="E18" s="6" t="s">
        <v>326</v>
      </c>
      <c r="L18" s="1" t="s">
        <v>378</v>
      </c>
      <c r="Q18" s="6" t="s">
        <v>326</v>
      </c>
    </row>
    <row r="19" spans="1:17" x14ac:dyDescent="0.25">
      <c r="B19" s="1" t="s">
        <v>379</v>
      </c>
      <c r="L19" s="1" t="s">
        <v>380</v>
      </c>
    </row>
    <row r="20" spans="1:17" x14ac:dyDescent="0.25">
      <c r="B20" s="1" t="s">
        <v>381</v>
      </c>
      <c r="L20" s="1" t="s">
        <v>382</v>
      </c>
    </row>
    <row r="21" spans="1:17" x14ac:dyDescent="0.25">
      <c r="B21" s="1" t="s">
        <v>383</v>
      </c>
      <c r="L21" s="1" t="s">
        <v>384</v>
      </c>
    </row>
    <row r="22" spans="1:17" x14ac:dyDescent="0.25">
      <c r="A22" s="6"/>
      <c r="B22" s="39" t="s">
        <v>324</v>
      </c>
      <c r="L22" s="1" t="s">
        <v>385</v>
      </c>
    </row>
    <row r="23" spans="1:17" x14ac:dyDescent="0.25">
      <c r="A23" s="6" t="s">
        <v>326</v>
      </c>
      <c r="L23" s="1" t="s">
        <v>386</v>
      </c>
    </row>
    <row r="24" spans="1:17" x14ac:dyDescent="0.25">
      <c r="A24" s="6" t="s">
        <v>326</v>
      </c>
      <c r="L24" s="1" t="s">
        <v>387</v>
      </c>
    </row>
    <row r="25" spans="1:17" x14ac:dyDescent="0.25">
      <c r="A25" s="6" t="s">
        <v>326</v>
      </c>
      <c r="L25" s="1" t="s">
        <v>388</v>
      </c>
    </row>
    <row r="26" spans="1:17" x14ac:dyDescent="0.25">
      <c r="A26" s="6" t="s">
        <v>326</v>
      </c>
      <c r="L26" s="1" t="s">
        <v>389</v>
      </c>
    </row>
    <row r="27" spans="1:17" x14ac:dyDescent="0.25">
      <c r="A27" s="6" t="s">
        <v>326</v>
      </c>
      <c r="L27" s="1" t="s">
        <v>390</v>
      </c>
    </row>
    <row r="28" spans="1:17" x14ac:dyDescent="0.25">
      <c r="L28" s="1" t="s">
        <v>391</v>
      </c>
    </row>
    <row r="29" spans="1:17" x14ac:dyDescent="0.25">
      <c r="L29" s="1" t="s">
        <v>392</v>
      </c>
    </row>
    <row r="30" spans="1:17" x14ac:dyDescent="0.25">
      <c r="L30" s="1" t="s">
        <v>393</v>
      </c>
    </row>
    <row r="31" spans="1:17" x14ac:dyDescent="0.25">
      <c r="L31" s="1" t="s">
        <v>32</v>
      </c>
    </row>
    <row r="32" spans="1:17" x14ac:dyDescent="0.25">
      <c r="L32" s="1" t="s">
        <v>394</v>
      </c>
    </row>
    <row r="33" spans="12:13" x14ac:dyDescent="0.25">
      <c r="L33" s="1" t="s">
        <v>395</v>
      </c>
    </row>
    <row r="34" spans="12:13" x14ac:dyDescent="0.25">
      <c r="L34" s="1" t="s">
        <v>396</v>
      </c>
    </row>
    <row r="35" spans="12:13" x14ac:dyDescent="0.25">
      <c r="L35" s="1" t="s">
        <v>397</v>
      </c>
    </row>
    <row r="36" spans="12:13" x14ac:dyDescent="0.25">
      <c r="L36" s="1" t="s">
        <v>398</v>
      </c>
    </row>
    <row r="37" spans="12:13" x14ac:dyDescent="0.25">
      <c r="L37" s="1" t="s">
        <v>399</v>
      </c>
    </row>
    <row r="38" spans="12:13" x14ac:dyDescent="0.25">
      <c r="L38" s="1" t="s">
        <v>343</v>
      </c>
    </row>
    <row r="39" spans="12:13" x14ac:dyDescent="0.25">
      <c r="L39" s="1" t="s">
        <v>400</v>
      </c>
    </row>
    <row r="40" spans="12:13" x14ac:dyDescent="0.25">
      <c r="L40" s="1" t="s">
        <v>401</v>
      </c>
    </row>
    <row r="41" spans="12:13" x14ac:dyDescent="0.25">
      <c r="L41" s="1" t="s">
        <v>402</v>
      </c>
    </row>
    <row r="42" spans="12:13" x14ac:dyDescent="0.25">
      <c r="L42" s="1" t="s">
        <v>403</v>
      </c>
    </row>
    <row r="43" spans="12:13" x14ac:dyDescent="0.25">
      <c r="L43" s="1" t="s">
        <v>404</v>
      </c>
    </row>
    <row r="44" spans="12:13" x14ac:dyDescent="0.25">
      <c r="L44" s="1" t="s">
        <v>405</v>
      </c>
    </row>
    <row r="45" spans="12:13" x14ac:dyDescent="0.25">
      <c r="L45" s="1" t="s">
        <v>406</v>
      </c>
      <c r="M45" s="36"/>
    </row>
    <row r="46" spans="12:13" x14ac:dyDescent="0.25">
      <c r="L46" s="1" t="s">
        <v>407</v>
      </c>
      <c r="M46" s="36"/>
    </row>
    <row r="47" spans="12:13" x14ac:dyDescent="0.25">
      <c r="L47" s="39" t="s">
        <v>408</v>
      </c>
      <c r="M47" s="36"/>
    </row>
    <row r="48" spans="12:13" x14ac:dyDescent="0.25">
      <c r="L48" s="39" t="s">
        <v>409</v>
      </c>
      <c r="M48" s="36"/>
    </row>
    <row r="49" spans="9:12" x14ac:dyDescent="0.25">
      <c r="L49" s="39" t="s">
        <v>410</v>
      </c>
    </row>
    <row r="50" spans="9:12" x14ac:dyDescent="0.25">
      <c r="L50" s="39" t="s">
        <v>411</v>
      </c>
    </row>
    <row r="51" spans="9:12" x14ac:dyDescent="0.25">
      <c r="L51" s="1" t="s">
        <v>412</v>
      </c>
    </row>
    <row r="52" spans="9:12" x14ac:dyDescent="0.25">
      <c r="L52" s="1" t="s">
        <v>413</v>
      </c>
    </row>
    <row r="53" spans="9:12" x14ac:dyDescent="0.25">
      <c r="L53" s="1" t="s">
        <v>414</v>
      </c>
    </row>
    <row r="54" spans="9:12" x14ac:dyDescent="0.25">
      <c r="L54" s="1" t="s">
        <v>263</v>
      </c>
    </row>
    <row r="55" spans="9:12" x14ac:dyDescent="0.25">
      <c r="J55" s="6"/>
      <c r="K55" s="6"/>
      <c r="L55" s="39" t="s">
        <v>415</v>
      </c>
    </row>
    <row r="56" spans="9:12" x14ac:dyDescent="0.25">
      <c r="J56" s="6"/>
      <c r="K56" s="6"/>
      <c r="L56" s="39" t="s">
        <v>416</v>
      </c>
    </row>
    <row r="57" spans="9:12" x14ac:dyDescent="0.25">
      <c r="J57" s="6"/>
      <c r="K57" s="6"/>
      <c r="L57" s="39" t="s">
        <v>417</v>
      </c>
    </row>
    <row r="58" spans="9:12" x14ac:dyDescent="0.25">
      <c r="J58" s="6"/>
      <c r="K58" s="6"/>
      <c r="L58" s="39" t="s">
        <v>418</v>
      </c>
    </row>
    <row r="59" spans="9:12" x14ac:dyDescent="0.25">
      <c r="J59" s="6"/>
      <c r="K59" s="6"/>
      <c r="L59" s="39" t="s">
        <v>419</v>
      </c>
    </row>
    <row r="60" spans="9:12" x14ac:dyDescent="0.25">
      <c r="I60" s="6"/>
      <c r="J60" s="6"/>
      <c r="K60" s="6"/>
      <c r="L60" s="39" t="s">
        <v>420</v>
      </c>
    </row>
    <row r="61" spans="9:12" x14ac:dyDescent="0.25">
      <c r="I61" s="6"/>
      <c r="J61" s="6"/>
      <c r="K61" s="6"/>
      <c r="L61" s="39" t="s">
        <v>421</v>
      </c>
    </row>
    <row r="62" spans="9:12" x14ac:dyDescent="0.25">
      <c r="I62" s="6"/>
      <c r="J62" s="6"/>
      <c r="K62" s="6"/>
      <c r="L62" s="39" t="s">
        <v>422</v>
      </c>
    </row>
    <row r="63" spans="9:12" x14ac:dyDescent="0.25">
      <c r="I63" s="6"/>
      <c r="J63" s="6"/>
      <c r="K63" s="6"/>
      <c r="L63" s="39" t="s">
        <v>423</v>
      </c>
    </row>
    <row r="64" spans="9:12" x14ac:dyDescent="0.25">
      <c r="I64" s="6"/>
      <c r="J64" s="6"/>
      <c r="K64" s="6"/>
      <c r="L64" s="39" t="s">
        <v>424</v>
      </c>
    </row>
    <row r="65" spans="9:12" x14ac:dyDescent="0.25">
      <c r="I65" s="6"/>
      <c r="J65" s="6"/>
      <c r="K65" s="6"/>
      <c r="L65" s="39" t="s">
        <v>425</v>
      </c>
    </row>
    <row r="66" spans="9:12" x14ac:dyDescent="0.25">
      <c r="I66" s="6"/>
      <c r="J66" s="6"/>
      <c r="K66" s="6"/>
      <c r="L66" s="39" t="s">
        <v>426</v>
      </c>
    </row>
    <row r="67" spans="9:12" x14ac:dyDescent="0.25">
      <c r="I67" s="6"/>
      <c r="J67" s="6"/>
      <c r="K67" s="6"/>
      <c r="L67" s="39" t="s">
        <v>427</v>
      </c>
    </row>
    <row r="68" spans="9:12" x14ac:dyDescent="0.25">
      <c r="I68" s="6"/>
      <c r="J68" s="6"/>
      <c r="K68" s="6"/>
      <c r="L68" s="39" t="s">
        <v>428</v>
      </c>
    </row>
    <row r="69" spans="9:12" x14ac:dyDescent="0.25">
      <c r="L69" s="39" t="s">
        <v>429</v>
      </c>
    </row>
    <row r="70" spans="9:12" x14ac:dyDescent="0.25">
      <c r="L70" s="39" t="s">
        <v>430</v>
      </c>
    </row>
    <row r="71" spans="9:12" x14ac:dyDescent="0.25">
      <c r="K71" s="6" t="s">
        <v>326</v>
      </c>
      <c r="L71" s="39"/>
    </row>
    <row r="72" spans="9:12" x14ac:dyDescent="0.25">
      <c r="K72" s="6" t="s">
        <v>326</v>
      </c>
      <c r="L72" s="39"/>
    </row>
    <row r="73" spans="9:12" x14ac:dyDescent="0.25">
      <c r="K73" s="6" t="s">
        <v>326</v>
      </c>
      <c r="L73" s="39"/>
    </row>
    <row r="74" spans="9:12" x14ac:dyDescent="0.25">
      <c r="K74" s="6" t="s">
        <v>326</v>
      </c>
      <c r="L74" s="39"/>
    </row>
    <row r="75" spans="9:12" x14ac:dyDescent="0.25">
      <c r="K75" s="6"/>
      <c r="L75" s="39"/>
    </row>
    <row r="84" spans="12:12" x14ac:dyDescent="0.25">
      <c r="L84" s="36"/>
    </row>
  </sheetData>
  <sortState xmlns:xlrd2="http://schemas.microsoft.com/office/spreadsheetml/2017/richdata2" ref="L55:L68">
    <sortCondition ref="L55"/>
  </sortState>
  <conditionalFormatting sqref="L10">
    <cfRule type="duplicateValues" dxfId="18" priority="17"/>
  </conditionalFormatting>
  <conditionalFormatting sqref="L55">
    <cfRule type="duplicateValues" dxfId="17" priority="15"/>
  </conditionalFormatting>
  <conditionalFormatting sqref="L55">
    <cfRule type="duplicateValues" dxfId="16" priority="16"/>
  </conditionalFormatting>
  <conditionalFormatting sqref="L56">
    <cfRule type="duplicateValues" dxfId="15" priority="13"/>
  </conditionalFormatting>
  <conditionalFormatting sqref="L56">
    <cfRule type="duplicateValues" dxfId="14" priority="14"/>
  </conditionalFormatting>
  <conditionalFormatting sqref="L57">
    <cfRule type="duplicateValues" dxfId="13" priority="11"/>
  </conditionalFormatting>
  <conditionalFormatting sqref="L57">
    <cfRule type="duplicateValues" dxfId="12" priority="12"/>
  </conditionalFormatting>
  <conditionalFormatting sqref="L62:L63">
    <cfRule type="duplicateValues" dxfId="11" priority="9"/>
  </conditionalFormatting>
  <conditionalFormatting sqref="L62:L63">
    <cfRule type="duplicateValues" dxfId="10" priority="10"/>
  </conditionalFormatting>
  <conditionalFormatting sqref="L64">
    <cfRule type="duplicateValues" dxfId="9" priority="7"/>
  </conditionalFormatting>
  <conditionalFormatting sqref="L64">
    <cfRule type="duplicateValues" dxfId="8" priority="8"/>
  </conditionalFormatting>
  <conditionalFormatting sqref="L66">
    <cfRule type="duplicateValues" dxfId="7" priority="3"/>
  </conditionalFormatting>
  <conditionalFormatting sqref="L66">
    <cfRule type="duplicateValues" dxfId="6" priority="4"/>
  </conditionalFormatting>
  <conditionalFormatting sqref="L67">
    <cfRule type="duplicateValues" dxfId="5" priority="1"/>
  </conditionalFormatting>
  <conditionalFormatting sqref="L67">
    <cfRule type="duplicateValues" dxfId="4" priority="2"/>
  </conditionalFormatting>
  <conditionalFormatting sqref="L94:L1048576 L1:L3 L72:L92 L68:L70">
    <cfRule type="duplicateValues" dxfId="3" priority="755"/>
  </conditionalFormatting>
  <conditionalFormatting sqref="L4:L54 L72:L74 L68:L70">
    <cfRule type="duplicateValues" dxfId="2" priority="760"/>
  </conditionalFormatting>
  <conditionalFormatting sqref="L65">
    <cfRule type="duplicateValues" dxfId="1" priority="764"/>
  </conditionalFormatting>
  <pageMargins left="0.7" right="0.7"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4EAA2-05C4-4CEC-B0BD-1C6392795518}">
  <dimension ref="A1:BY283"/>
  <sheetViews>
    <sheetView topLeftCell="A238" zoomScale="70" zoomScaleNormal="70" workbookViewId="0">
      <selection activeCell="D9" sqref="F9"/>
    </sheetView>
  </sheetViews>
  <sheetFormatPr defaultRowHeight="15.75" x14ac:dyDescent="0.25"/>
  <cols>
    <col min="4" max="4" width="9.875" bestFit="1" customWidth="1"/>
    <col min="6" max="7" width="12.5" bestFit="1" customWidth="1"/>
    <col min="14" max="14" width="10.25" bestFit="1" customWidth="1"/>
    <col min="16" max="16" width="10.125" bestFit="1" customWidth="1"/>
    <col min="18" max="18" width="10.125" bestFit="1" customWidth="1"/>
    <col min="22" max="24" width="10.75" customWidth="1"/>
    <col min="28" max="28" width="12.875" customWidth="1"/>
    <col min="42" max="42" width="78.5" customWidth="1"/>
    <col min="44" max="44" width="13.5" bestFit="1" customWidth="1"/>
    <col min="49" max="49" width="11" customWidth="1"/>
  </cols>
  <sheetData>
    <row r="1" spans="1:35" ht="21" x14ac:dyDescent="0.35">
      <c r="A1" s="3" t="s">
        <v>431</v>
      </c>
      <c r="AA1">
        <v>2020</v>
      </c>
      <c r="AD1">
        <v>2030</v>
      </c>
      <c r="AG1">
        <v>2050</v>
      </c>
    </row>
    <row r="2" spans="1:35" x14ac:dyDescent="0.25">
      <c r="A2" s="124" t="s">
        <v>432</v>
      </c>
      <c r="AA2" t="s">
        <v>433</v>
      </c>
      <c r="AB2" t="s">
        <v>434</v>
      </c>
      <c r="AC2" t="s">
        <v>435</v>
      </c>
      <c r="AD2" t="s">
        <v>433</v>
      </c>
      <c r="AE2" t="s">
        <v>434</v>
      </c>
      <c r="AF2" t="s">
        <v>435</v>
      </c>
      <c r="AG2" t="s">
        <v>433</v>
      </c>
      <c r="AH2" t="s">
        <v>434</v>
      </c>
      <c r="AI2" t="s">
        <v>435</v>
      </c>
    </row>
    <row r="3" spans="1:35" x14ac:dyDescent="0.25">
      <c r="Z3" s="174" t="s">
        <v>436</v>
      </c>
      <c r="AA3" s="175">
        <v>1100</v>
      </c>
      <c r="AB3">
        <f>'JRC_ETRI_Wind energy'!E42</f>
        <v>990</v>
      </c>
      <c r="AC3">
        <f>AA5+(AA5-AB3)</f>
        <v>1110</v>
      </c>
      <c r="AD3">
        <f>AVERAGE('JRC_ETRI_Wind energy'!F39:F40)</f>
        <v>1000</v>
      </c>
      <c r="AE3">
        <f>'JRC_ETRI_Wind energy'!F40</f>
        <v>980</v>
      </c>
      <c r="AF3">
        <f>'JRC_ETRI_Wind energy'!F39</f>
        <v>1020</v>
      </c>
      <c r="AG3">
        <f>AVERAGE('JRC_ETRI_Wind energy'!H39:H40)</f>
        <v>940</v>
      </c>
      <c r="AH3">
        <f>'JRC_ETRI_Wind energy'!H40</f>
        <v>920</v>
      </c>
      <c r="AI3">
        <f>'JRC_ETRI_Wind energy'!H39</f>
        <v>960</v>
      </c>
    </row>
    <row r="4" spans="1:35" x14ac:dyDescent="0.25">
      <c r="Z4" t="s">
        <v>0</v>
      </c>
      <c r="AA4" s="175" t="s">
        <v>437</v>
      </c>
      <c r="AB4" t="s">
        <v>438</v>
      </c>
      <c r="AC4" t="s">
        <v>225</v>
      </c>
      <c r="AD4" t="s">
        <v>438</v>
      </c>
      <c r="AE4" t="s">
        <v>438</v>
      </c>
      <c r="AF4" t="s">
        <v>438</v>
      </c>
      <c r="AG4" t="s">
        <v>438</v>
      </c>
      <c r="AH4" t="s">
        <v>438</v>
      </c>
      <c r="AI4" t="s">
        <v>438</v>
      </c>
    </row>
    <row r="5" spans="1:35" x14ac:dyDescent="0.25">
      <c r="A5" t="s">
        <v>439</v>
      </c>
      <c r="AA5" s="79">
        <f>10*ROUND(AD16/10,0)</f>
        <v>1050</v>
      </c>
    </row>
    <row r="6" spans="1:35" x14ac:dyDescent="0.25">
      <c r="A6" t="s">
        <v>440</v>
      </c>
      <c r="K6" s="154" t="s">
        <v>441</v>
      </c>
      <c r="AA6" s="79" t="s">
        <v>438</v>
      </c>
    </row>
    <row r="8" spans="1:35" x14ac:dyDescent="0.25">
      <c r="Z8" t="s">
        <v>442</v>
      </c>
      <c r="AA8">
        <f>AA5*1000/1000000</f>
        <v>1.05</v>
      </c>
      <c r="AB8">
        <f>AB3*1000/1000000</f>
        <v>0.99</v>
      </c>
      <c r="AC8">
        <f t="shared" ref="AC8:AI8" si="0">AC3*1000/1000000</f>
        <v>1.1100000000000001</v>
      </c>
      <c r="AD8">
        <f t="shared" si="0"/>
        <v>1</v>
      </c>
      <c r="AE8">
        <f>AE3*1000/1000000</f>
        <v>0.98</v>
      </c>
      <c r="AF8">
        <f>AF3*1000/1000000</f>
        <v>1.02</v>
      </c>
      <c r="AG8">
        <f>AG3*1000/1000000</f>
        <v>0.94</v>
      </c>
      <c r="AH8">
        <f t="shared" si="0"/>
        <v>0.92</v>
      </c>
      <c r="AI8">
        <f t="shared" si="0"/>
        <v>0.96</v>
      </c>
    </row>
    <row r="11" spans="1:35" x14ac:dyDescent="0.25">
      <c r="Z11" t="s">
        <v>443</v>
      </c>
      <c r="AA11" t="s">
        <v>444</v>
      </c>
    </row>
    <row r="13" spans="1:35" x14ac:dyDescent="0.25">
      <c r="AA13" t="s">
        <v>445</v>
      </c>
    </row>
    <row r="14" spans="1:35" x14ac:dyDescent="0.25">
      <c r="AA14" s="174" t="s">
        <v>446</v>
      </c>
      <c r="AB14">
        <v>105</v>
      </c>
    </row>
    <row r="15" spans="1:35" x14ac:dyDescent="0.25">
      <c r="W15" t="s">
        <v>447</v>
      </c>
      <c r="X15" t="s">
        <v>448</v>
      </c>
      <c r="AA15" s="174" t="s">
        <v>449</v>
      </c>
      <c r="AB15">
        <v>100</v>
      </c>
      <c r="AD15">
        <v>1100</v>
      </c>
      <c r="AE15" t="s">
        <v>437</v>
      </c>
    </row>
    <row r="16" spans="1:35" x14ac:dyDescent="0.25">
      <c r="W16" t="s">
        <v>450</v>
      </c>
      <c r="AD16">
        <f>AD15*(AB15/AB14)</f>
        <v>1047.6190476190475</v>
      </c>
    </row>
    <row r="19" spans="23:23" x14ac:dyDescent="0.25">
      <c r="W19" t="s">
        <v>451</v>
      </c>
    </row>
    <row r="46" spans="10:10" x14ac:dyDescent="0.25">
      <c r="J46" t="s">
        <v>452</v>
      </c>
    </row>
    <row r="47" spans="10:10" x14ac:dyDescent="0.25">
      <c r="J47" t="s">
        <v>453</v>
      </c>
    </row>
    <row r="48" spans="10:10" x14ac:dyDescent="0.25">
      <c r="J48" s="153" t="s">
        <v>454</v>
      </c>
    </row>
    <row r="49" spans="10:10" x14ac:dyDescent="0.25">
      <c r="J49" s="154" t="s">
        <v>455</v>
      </c>
    </row>
    <row r="75" spans="2:8" x14ac:dyDescent="0.25">
      <c r="B75" t="s">
        <v>456</v>
      </c>
    </row>
    <row r="77" spans="2:8" x14ac:dyDescent="0.25">
      <c r="B77" s="149" t="s">
        <v>26</v>
      </c>
      <c r="C77" s="149"/>
      <c r="D77" s="149"/>
      <c r="E77" s="149"/>
      <c r="F77" s="149">
        <v>1.1000000000000001</v>
      </c>
      <c r="G77" s="149" t="s">
        <v>457</v>
      </c>
      <c r="H77" s="149" t="s">
        <v>458</v>
      </c>
    </row>
    <row r="78" spans="2:8" x14ac:dyDescent="0.25">
      <c r="B78" t="s">
        <v>459</v>
      </c>
      <c r="F78">
        <v>11.5</v>
      </c>
      <c r="G78" t="s">
        <v>460</v>
      </c>
      <c r="H78" t="s">
        <v>458</v>
      </c>
    </row>
    <row r="79" spans="2:8" x14ac:dyDescent="0.25">
      <c r="B79" t="s">
        <v>461</v>
      </c>
      <c r="F79">
        <v>4220</v>
      </c>
      <c r="G79" t="s">
        <v>462</v>
      </c>
    </row>
    <row r="81" spans="2:15" x14ac:dyDescent="0.25">
      <c r="B81" t="s">
        <v>463</v>
      </c>
      <c r="F81">
        <f>F79</f>
        <v>4220</v>
      </c>
      <c r="G81" t="s">
        <v>330</v>
      </c>
      <c r="H81" t="s">
        <v>464</v>
      </c>
    </row>
    <row r="82" spans="2:15" x14ac:dyDescent="0.25">
      <c r="E82" s="153" t="s">
        <v>465</v>
      </c>
      <c r="F82">
        <f>0.0000000036</f>
        <v>3.6E-9</v>
      </c>
      <c r="G82" t="s">
        <v>31</v>
      </c>
    </row>
    <row r="83" spans="2:15" x14ac:dyDescent="0.25">
      <c r="B83" t="s">
        <v>463</v>
      </c>
      <c r="F83">
        <f>F81*F82</f>
        <v>1.5192E-5</v>
      </c>
      <c r="G83" t="s">
        <v>31</v>
      </c>
      <c r="H83" t="s">
        <v>464</v>
      </c>
    </row>
    <row r="85" spans="2:15" x14ac:dyDescent="0.25">
      <c r="B85" s="149" t="s">
        <v>459</v>
      </c>
      <c r="C85" s="149"/>
      <c r="D85" s="149"/>
      <c r="E85" s="149"/>
      <c r="F85" s="151">
        <f>F78/1000000*1000</f>
        <v>1.15E-2</v>
      </c>
      <c r="G85" s="149" t="s">
        <v>466</v>
      </c>
      <c r="H85" s="149" t="s">
        <v>464</v>
      </c>
    </row>
    <row r="87" spans="2:15" x14ac:dyDescent="0.25">
      <c r="F87" t="s">
        <v>467</v>
      </c>
      <c r="G87" t="s">
        <v>468</v>
      </c>
    </row>
    <row r="88" spans="2:15" x14ac:dyDescent="0.25">
      <c r="B88" t="s">
        <v>469</v>
      </c>
      <c r="F88">
        <v>9.5999999999999992E-3</v>
      </c>
      <c r="G88">
        <v>2.7000000000000001E-3</v>
      </c>
      <c r="H88" t="s">
        <v>470</v>
      </c>
      <c r="I88" t="s">
        <v>464</v>
      </c>
      <c r="J88" t="s">
        <v>471</v>
      </c>
    </row>
    <row r="89" spans="2:15" x14ac:dyDescent="0.25">
      <c r="B89" t="s">
        <v>469</v>
      </c>
      <c r="F89" s="152">
        <f>F88*$F81</f>
        <v>40.511999999999993</v>
      </c>
      <c r="G89" s="152">
        <f>G88*$F81</f>
        <v>11.394</v>
      </c>
      <c r="H89" t="s">
        <v>472</v>
      </c>
      <c r="I89" t="s">
        <v>458</v>
      </c>
    </row>
    <row r="90" spans="2:15" x14ac:dyDescent="0.25">
      <c r="B90" s="149" t="s">
        <v>473</v>
      </c>
      <c r="C90" s="149"/>
      <c r="D90" s="149"/>
      <c r="E90" s="149"/>
      <c r="F90" s="157">
        <f>F88/1000000*1000</f>
        <v>9.5999999999999996E-6</v>
      </c>
      <c r="G90" s="157">
        <f>G88/1000000*1000</f>
        <v>2.7E-6</v>
      </c>
      <c r="H90" s="149" t="s">
        <v>474</v>
      </c>
      <c r="I90" s="149" t="s">
        <v>458</v>
      </c>
      <c r="K90" t="s">
        <v>475</v>
      </c>
      <c r="N90" s="177">
        <f>F90+G90</f>
        <v>1.2299999999999999E-5</v>
      </c>
      <c r="O90" s="177" t="str">
        <f>H90</f>
        <v>MEUR/MWh</v>
      </c>
    </row>
    <row r="92" spans="2:15" x14ac:dyDescent="0.25">
      <c r="B92" t="s">
        <v>476</v>
      </c>
      <c r="F92">
        <f>F81</f>
        <v>4220</v>
      </c>
      <c r="G92" t="s">
        <v>257</v>
      </c>
    </row>
    <row r="93" spans="2:15" x14ac:dyDescent="0.25">
      <c r="B93" s="149" t="s">
        <v>476</v>
      </c>
      <c r="C93" s="149"/>
      <c r="D93" s="149"/>
      <c r="E93" s="149"/>
      <c r="F93" s="150">
        <f>F92*1000*F82</f>
        <v>1.5192000000000001E-2</v>
      </c>
      <c r="G93" s="149" t="s">
        <v>31</v>
      </c>
      <c r="H93" s="149"/>
    </row>
    <row r="98" spans="27:33" x14ac:dyDescent="0.25">
      <c r="AA98" t="s">
        <v>477</v>
      </c>
      <c r="AG98" t="s">
        <v>478</v>
      </c>
    </row>
    <row r="101" spans="27:33" x14ac:dyDescent="0.25">
      <c r="AB101" t="s">
        <v>479</v>
      </c>
    </row>
    <row r="102" spans="27:33" x14ac:dyDescent="0.25">
      <c r="AA102" t="s">
        <v>480</v>
      </c>
      <c r="AB102" t="s">
        <v>481</v>
      </c>
    </row>
    <row r="103" spans="27:33" x14ac:dyDescent="0.25">
      <c r="AA103" t="s">
        <v>482</v>
      </c>
      <c r="AB103" t="s">
        <v>482</v>
      </c>
    </row>
    <row r="104" spans="27:33" x14ac:dyDescent="0.25">
      <c r="AA104">
        <v>11</v>
      </c>
      <c r="AB104">
        <v>0.8</v>
      </c>
    </row>
    <row r="105" spans="27:33" x14ac:dyDescent="0.25">
      <c r="AA105">
        <v>3</v>
      </c>
      <c r="AB105">
        <v>0.2</v>
      </c>
    </row>
    <row r="106" spans="27:33" x14ac:dyDescent="0.25">
      <c r="AA106">
        <v>3</v>
      </c>
      <c r="AB106">
        <v>0.2</v>
      </c>
    </row>
    <row r="107" spans="27:33" x14ac:dyDescent="0.25">
      <c r="AA107">
        <v>6</v>
      </c>
      <c r="AB107">
        <v>0.5</v>
      </c>
    </row>
    <row r="108" spans="27:33" x14ac:dyDescent="0.25">
      <c r="AA108">
        <v>1</v>
      </c>
      <c r="AB108">
        <v>0.1</v>
      </c>
    </row>
    <row r="109" spans="27:33" x14ac:dyDescent="0.25">
      <c r="AA109">
        <v>31</v>
      </c>
      <c r="AB109">
        <v>2.2000000000000002</v>
      </c>
    </row>
    <row r="110" spans="27:33" x14ac:dyDescent="0.25">
      <c r="AA110">
        <v>71</v>
      </c>
      <c r="AB110">
        <v>5</v>
      </c>
    </row>
    <row r="111" spans="27:33" x14ac:dyDescent="0.25">
      <c r="AA111">
        <v>5</v>
      </c>
      <c r="AB111">
        <v>0.4</v>
      </c>
    </row>
    <row r="112" spans="27:33" x14ac:dyDescent="0.25">
      <c r="AA112">
        <v>72</v>
      </c>
      <c r="AB112">
        <v>5.0999999999999996</v>
      </c>
    </row>
    <row r="113" spans="27:77" x14ac:dyDescent="0.25">
      <c r="AA113">
        <v>8</v>
      </c>
      <c r="AB113">
        <v>0.6</v>
      </c>
    </row>
    <row r="114" spans="27:77" x14ac:dyDescent="0.25">
      <c r="AA114">
        <v>43</v>
      </c>
      <c r="AB114">
        <v>3</v>
      </c>
    </row>
    <row r="115" spans="27:77" x14ac:dyDescent="0.25">
      <c r="AA115">
        <v>4</v>
      </c>
      <c r="AB115">
        <v>0.3</v>
      </c>
    </row>
    <row r="116" spans="27:77" x14ac:dyDescent="0.25">
      <c r="AA116">
        <v>4</v>
      </c>
      <c r="AB116">
        <v>0.3</v>
      </c>
    </row>
    <row r="117" spans="27:77" x14ac:dyDescent="0.25">
      <c r="AA117">
        <v>5</v>
      </c>
      <c r="AB117">
        <v>0.3</v>
      </c>
    </row>
    <row r="118" spans="27:77" x14ac:dyDescent="0.25">
      <c r="AA118">
        <v>11</v>
      </c>
      <c r="AB118">
        <v>0.8</v>
      </c>
    </row>
    <row r="119" spans="27:77" x14ac:dyDescent="0.25">
      <c r="AA119">
        <v>4</v>
      </c>
      <c r="AB119">
        <v>0.3</v>
      </c>
    </row>
    <row r="120" spans="27:77" x14ac:dyDescent="0.25">
      <c r="AA120">
        <v>40</v>
      </c>
      <c r="AB120">
        <v>2.8</v>
      </c>
      <c r="BN120" t="s">
        <v>483</v>
      </c>
      <c r="BQ120" t="s">
        <v>484</v>
      </c>
    </row>
    <row r="121" spans="27:77" x14ac:dyDescent="0.25">
      <c r="AA121">
        <v>6</v>
      </c>
      <c r="AB121">
        <v>0.4</v>
      </c>
      <c r="BQ121" t="s">
        <v>485</v>
      </c>
    </row>
    <row r="122" spans="27:77" x14ac:dyDescent="0.25">
      <c r="AA122">
        <v>14</v>
      </c>
      <c r="AB122">
        <v>1</v>
      </c>
      <c r="BO122" t="s">
        <v>486</v>
      </c>
      <c r="BR122" t="s">
        <v>486</v>
      </c>
      <c r="BY122" t="s">
        <v>487</v>
      </c>
    </row>
    <row r="123" spans="27:77" x14ac:dyDescent="0.25">
      <c r="AA123">
        <v>17</v>
      </c>
      <c r="AB123">
        <v>1.2</v>
      </c>
      <c r="AJ123" t="s">
        <v>488</v>
      </c>
      <c r="AM123" t="s">
        <v>489</v>
      </c>
      <c r="AO123" t="s">
        <v>461</v>
      </c>
      <c r="AP123" s="1"/>
      <c r="AQ123" s="197" t="s">
        <v>490</v>
      </c>
      <c r="AR123" s="197" t="s">
        <v>489</v>
      </c>
      <c r="AS123" s="16"/>
      <c r="AT123" s="198"/>
      <c r="AU123" s="199" t="s">
        <v>491</v>
      </c>
      <c r="AV123" s="200"/>
      <c r="BN123" t="s">
        <v>32</v>
      </c>
      <c r="BO123" t="s">
        <v>32</v>
      </c>
      <c r="BQ123" t="s">
        <v>32</v>
      </c>
      <c r="BR123" t="s">
        <v>32</v>
      </c>
    </row>
    <row r="124" spans="27:77" x14ac:dyDescent="0.25">
      <c r="AA124">
        <v>9</v>
      </c>
      <c r="AB124">
        <v>0.6</v>
      </c>
      <c r="AJ124" t="s">
        <v>492</v>
      </c>
      <c r="AK124" t="s">
        <v>493</v>
      </c>
      <c r="AM124" t="s">
        <v>494</v>
      </c>
      <c r="AO124" t="s">
        <v>495</v>
      </c>
      <c r="AP124" s="1"/>
      <c r="AQ124" s="201" t="s">
        <v>496</v>
      </c>
      <c r="AR124" s="201" t="s">
        <v>494</v>
      </c>
      <c r="AS124" s="16"/>
      <c r="AT124" s="202">
        <v>2020</v>
      </c>
      <c r="AU124" s="203">
        <v>2030</v>
      </c>
      <c r="AV124" s="204">
        <v>2050</v>
      </c>
      <c r="AW124" s="79" t="s">
        <v>497</v>
      </c>
      <c r="BN124" t="s">
        <v>498</v>
      </c>
      <c r="BO124" t="s">
        <v>499</v>
      </c>
      <c r="BQ124" t="s">
        <v>498</v>
      </c>
      <c r="BR124" t="s">
        <v>499</v>
      </c>
    </row>
    <row r="125" spans="27:77" x14ac:dyDescent="0.25">
      <c r="AA125">
        <v>7</v>
      </c>
      <c r="AB125">
        <v>0.5</v>
      </c>
      <c r="AG125" s="153" t="s">
        <v>500</v>
      </c>
      <c r="AH125" t="s">
        <v>501</v>
      </c>
      <c r="AJ125">
        <v>22</v>
      </c>
      <c r="AK125" s="179">
        <f>AJ125/$AJ$131</f>
        <v>2.7603513174404015E-2</v>
      </c>
      <c r="AM125">
        <f>ROUND(AK125*$AL$133,1)*1000</f>
        <v>300</v>
      </c>
      <c r="AO125" s="1">
        <v>4220</v>
      </c>
      <c r="AP125" s="180" t="s">
        <v>502</v>
      </c>
      <c r="AQ125" s="183">
        <f>AM125*AO125/1000000</f>
        <v>1.266</v>
      </c>
      <c r="AR125" s="180">
        <f>AM125</f>
        <v>300</v>
      </c>
      <c r="AS125" s="186">
        <f>AR125/$AR$131</f>
        <v>0.03</v>
      </c>
      <c r="AT125" s="189">
        <f>$AS125*AT$131</f>
        <v>0.15</v>
      </c>
      <c r="AU125" s="190">
        <f>$AS125*AU$131</f>
        <v>0.32999999999999996</v>
      </c>
      <c r="AV125" s="191">
        <f>$AS125*AV$131</f>
        <v>0.44999999999999996</v>
      </c>
      <c r="AW125" s="79">
        <f>AV125*AO125</f>
        <v>1898.9999999999998</v>
      </c>
      <c r="AX125" t="str">
        <f t="shared" ref="AX125:AX130" si="1">CONCATENATE(AO125," full load hours: ",AP125)</f>
        <v>4220 full load hours: Wind speed category: more than 8.5 m/s</v>
      </c>
      <c r="BE125" t="str">
        <f>CONCATENATE(AP125,"  - full load hours estimated as ",AO125," hrs/year")</f>
        <v>Wind speed category: more than 8.5 m/s  - full load hours estimated as 4220 hrs/year</v>
      </c>
      <c r="BN125" s="211">
        <f>AV125*AO125</f>
        <v>1898.9999999999998</v>
      </c>
      <c r="BO125" s="152">
        <f>100*ROUND(BN125/100,0)/1000</f>
        <v>1.9</v>
      </c>
      <c r="BP125" s="152"/>
      <c r="BQ125" s="211">
        <f>BN125/$BN$133*3000</f>
        <v>1821.0586881472955</v>
      </c>
      <c r="BR125" s="152">
        <f>100*ROUND(BQ125/100,0)/1000</f>
        <v>1.8</v>
      </c>
      <c r="BT125" s="180" t="s">
        <v>503</v>
      </c>
      <c r="BY125" t="str">
        <f>CONCATENATE(BT125," gives ",TEXT(AV125*1000,"0")," MW (",TEXT(BR125,"0.0")," TWh) in 2050")</f>
        <v>Wind speed category more than 8.5 m/s gives 450 MW (1.8 TWh) in 2050</v>
      </c>
    </row>
    <row r="126" spans="27:77" x14ac:dyDescent="0.25">
      <c r="AA126">
        <v>6</v>
      </c>
      <c r="AB126">
        <v>0.4</v>
      </c>
      <c r="AG126" s="153" t="s">
        <v>504</v>
      </c>
      <c r="AH126" t="s">
        <v>505</v>
      </c>
      <c r="AJ126">
        <v>60</v>
      </c>
      <c r="AK126" s="179">
        <f>AJ126/$AJ$131</f>
        <v>7.5282308657465491E-2</v>
      </c>
      <c r="AM126">
        <f t="shared" ref="AM126:AM130" si="2">ROUND(AK126*$AL$133,1)*1000</f>
        <v>800</v>
      </c>
      <c r="AO126" s="1">
        <v>3850</v>
      </c>
      <c r="AP126" s="181" t="s">
        <v>506</v>
      </c>
      <c r="AQ126" s="184">
        <f t="shared" ref="AQ126:AQ129" si="3">AM126*AO126/1000000</f>
        <v>3.08</v>
      </c>
      <c r="AR126" s="181">
        <f t="shared" ref="AR126:AR130" si="4">AM126</f>
        <v>800</v>
      </c>
      <c r="AS126" s="187">
        <f t="shared" ref="AS126:AS131" si="5">AR126/$AR$131</f>
        <v>0.08</v>
      </c>
      <c r="AT126" s="192">
        <f t="shared" ref="AT126:AV130" si="6">$AS126*AT$131</f>
        <v>0.4</v>
      </c>
      <c r="AU126" s="193">
        <f t="shared" si="6"/>
        <v>0.88</v>
      </c>
      <c r="AV126" s="194">
        <f t="shared" si="6"/>
        <v>1.2</v>
      </c>
      <c r="AW126" s="79">
        <f t="shared" ref="AW126:AW130" si="7">AV126*AO126</f>
        <v>4620</v>
      </c>
      <c r="AX126" t="str">
        <f t="shared" si="1"/>
        <v>3850 full load hours: Wind speed category: between 8.0 and 8.5 m/s</v>
      </c>
      <c r="BE126" t="str">
        <f t="shared" ref="BE126:BE130" si="8">CONCATENATE(AP126,"  - full load hours estimated as ",AO126," hrs/year")</f>
        <v>Wind speed category: between 8.0 and 8.5 m/s  - full load hours estimated as 3850 hrs/year</v>
      </c>
      <c r="BN126" s="211">
        <f t="shared" ref="BN126:BN130" si="9">AV126*AO126</f>
        <v>4620</v>
      </c>
      <c r="BO126" s="152">
        <f t="shared" ref="BO126:BO130" si="10">100*ROUND(BN126/100,0)/1000</f>
        <v>4.5999999999999996</v>
      </c>
      <c r="BP126" s="152"/>
      <c r="BQ126" s="211">
        <f t="shared" ref="BQ126:BQ130" si="11">BN126/$BN$133*3000</f>
        <v>4430.3797468354433</v>
      </c>
      <c r="BR126" s="152">
        <f t="shared" ref="BR126:BR130" si="12">100*ROUND(BQ126/100,0)/1000</f>
        <v>4.4000000000000004</v>
      </c>
      <c r="BT126" s="181" t="s">
        <v>507</v>
      </c>
      <c r="BY126" t="str">
        <f t="shared" ref="BY126:BY130" si="13">CONCATENATE(BT126," gives ",TEXT(AV126*1000,"0")," MW (",TEXT(BR126,"0.0")," TWh) in 2050")</f>
        <v>Wind speed category between 8.0 and 8.5 m/s gives 1200 MW (4.4 TWh) in 2050</v>
      </c>
    </row>
    <row r="127" spans="27:77" x14ac:dyDescent="0.25">
      <c r="AA127">
        <v>9</v>
      </c>
      <c r="AB127">
        <v>0.7</v>
      </c>
      <c r="AG127" s="153" t="s">
        <v>508</v>
      </c>
      <c r="AH127" t="s">
        <v>509</v>
      </c>
      <c r="AJ127">
        <v>155</v>
      </c>
      <c r="AK127" s="179">
        <f t="shared" ref="AK127:AK131" si="14">AJ127/$AJ$131</f>
        <v>0.19447929736511921</v>
      </c>
      <c r="AM127">
        <f t="shared" si="2"/>
        <v>1900</v>
      </c>
      <c r="AO127" s="1">
        <v>3500</v>
      </c>
      <c r="AP127" s="181" t="s">
        <v>510</v>
      </c>
      <c r="AQ127" s="184">
        <f t="shared" si="3"/>
        <v>6.65</v>
      </c>
      <c r="AR127" s="181">
        <f t="shared" si="4"/>
        <v>1900</v>
      </c>
      <c r="AS127" s="187">
        <f t="shared" si="5"/>
        <v>0.19</v>
      </c>
      <c r="AT127" s="192">
        <f t="shared" si="6"/>
        <v>0.95</v>
      </c>
      <c r="AU127" s="193">
        <f t="shared" si="6"/>
        <v>2.09</v>
      </c>
      <c r="AV127" s="194">
        <f t="shared" si="6"/>
        <v>2.85</v>
      </c>
      <c r="AW127" s="79">
        <f t="shared" si="7"/>
        <v>9975</v>
      </c>
      <c r="AX127" t="str">
        <f t="shared" si="1"/>
        <v>3500 full load hours: Wind speed category: between 7.5 and 8.0 m/s</v>
      </c>
      <c r="BE127" t="str">
        <f t="shared" si="8"/>
        <v>Wind speed category: between 7.5 and 8.0 m/s  - full load hours estimated as 3500 hrs/year</v>
      </c>
      <c r="BN127" s="211">
        <f t="shared" si="9"/>
        <v>9975</v>
      </c>
      <c r="BO127" s="152">
        <f t="shared" si="10"/>
        <v>10</v>
      </c>
      <c r="BP127" s="152"/>
      <c r="BQ127" s="211">
        <f t="shared" si="11"/>
        <v>9565.5926352128881</v>
      </c>
      <c r="BR127" s="152">
        <f t="shared" si="12"/>
        <v>9.6</v>
      </c>
      <c r="BT127" s="181" t="s">
        <v>511</v>
      </c>
      <c r="BY127" t="str">
        <f t="shared" si="13"/>
        <v>Wind speed category between 7.5 and 8.0 m/s gives 2850 MW (9.6 TWh) in 2050</v>
      </c>
    </row>
    <row r="128" spans="27:77" x14ac:dyDescent="0.25">
      <c r="AA128">
        <v>12</v>
      </c>
      <c r="AB128">
        <v>0.9</v>
      </c>
      <c r="AG128" s="153" t="s">
        <v>512</v>
      </c>
      <c r="AH128" t="s">
        <v>513</v>
      </c>
      <c r="AJ128">
        <v>230</v>
      </c>
      <c r="AK128" s="179">
        <f t="shared" si="14"/>
        <v>0.28858218318695106</v>
      </c>
      <c r="AM128">
        <f t="shared" si="2"/>
        <v>2900</v>
      </c>
      <c r="AO128" s="1">
        <v>3170</v>
      </c>
      <c r="AP128" s="181" t="s">
        <v>514</v>
      </c>
      <c r="AQ128" s="184">
        <f t="shared" si="3"/>
        <v>9.1929999999999996</v>
      </c>
      <c r="AR128" s="181">
        <f t="shared" si="4"/>
        <v>2900</v>
      </c>
      <c r="AS128" s="187">
        <f t="shared" si="5"/>
        <v>0.28999999999999998</v>
      </c>
      <c r="AT128" s="192">
        <f t="shared" si="6"/>
        <v>1.45</v>
      </c>
      <c r="AU128" s="193">
        <f t="shared" si="6"/>
        <v>3.19</v>
      </c>
      <c r="AV128" s="194">
        <f t="shared" si="6"/>
        <v>4.3499999999999996</v>
      </c>
      <c r="AW128" s="79">
        <f t="shared" si="7"/>
        <v>13789.499999999998</v>
      </c>
      <c r="AX128" t="str">
        <f t="shared" si="1"/>
        <v>3170 full load hours: Wind speed category: between 7.0 and 7.5 m/s</v>
      </c>
      <c r="BE128" t="str">
        <f t="shared" si="8"/>
        <v>Wind speed category: between 7.0 and 7.5 m/s  - full load hours estimated as 3170 hrs/year</v>
      </c>
      <c r="BN128" s="211">
        <f t="shared" si="9"/>
        <v>13789.499999999998</v>
      </c>
      <c r="BO128" s="152">
        <f t="shared" si="10"/>
        <v>13.8</v>
      </c>
      <c r="BP128" s="152"/>
      <c r="BQ128" s="211">
        <f t="shared" si="11"/>
        <v>13223.532796317604</v>
      </c>
      <c r="BR128" s="152">
        <f t="shared" si="12"/>
        <v>13.2</v>
      </c>
      <c r="BT128" s="181" t="s">
        <v>515</v>
      </c>
      <c r="BY128" t="str">
        <f t="shared" si="13"/>
        <v>Wind speed category between 7.0 and 7.5 m/s gives 4350 MW (13.2 TWh) in 2050</v>
      </c>
    </row>
    <row r="129" spans="26:77" x14ac:dyDescent="0.25">
      <c r="AA129">
        <v>11</v>
      </c>
      <c r="AB129">
        <v>0.8</v>
      </c>
      <c r="AG129" s="153" t="s">
        <v>516</v>
      </c>
      <c r="AH129" t="s">
        <v>517</v>
      </c>
      <c r="AJ129">
        <v>80</v>
      </c>
      <c r="AK129" s="179">
        <f t="shared" si="14"/>
        <v>0.10037641154328733</v>
      </c>
      <c r="AM129">
        <f t="shared" si="2"/>
        <v>1000</v>
      </c>
      <c r="AO129" s="1">
        <v>2880</v>
      </c>
      <c r="AP129" s="181" t="s">
        <v>518</v>
      </c>
      <c r="AQ129" s="184">
        <f t="shared" si="3"/>
        <v>2.88</v>
      </c>
      <c r="AR129" s="181">
        <f t="shared" si="4"/>
        <v>1000</v>
      </c>
      <c r="AS129" s="187">
        <f t="shared" si="5"/>
        <v>0.1</v>
      </c>
      <c r="AT129" s="192">
        <f t="shared" si="6"/>
        <v>0.5</v>
      </c>
      <c r="AU129" s="193">
        <f t="shared" si="6"/>
        <v>1.1000000000000001</v>
      </c>
      <c r="AV129" s="194">
        <f t="shared" si="6"/>
        <v>1.5</v>
      </c>
      <c r="AW129" s="79">
        <f t="shared" si="7"/>
        <v>4320</v>
      </c>
      <c r="AX129" t="str">
        <f t="shared" si="1"/>
        <v>2880 full load hours: Wind speed category: between 6.75 and 7.0 m/s</v>
      </c>
      <c r="BE129" t="str">
        <f t="shared" si="8"/>
        <v>Wind speed category: between 6.75 and 7.0 m/s  - full load hours estimated as 2880 hrs/year</v>
      </c>
      <c r="BN129" s="211">
        <f t="shared" si="9"/>
        <v>4320</v>
      </c>
      <c r="BO129" s="152">
        <f t="shared" si="10"/>
        <v>4.3</v>
      </c>
      <c r="BP129" s="152"/>
      <c r="BQ129" s="211">
        <f t="shared" si="11"/>
        <v>4142.692750287687</v>
      </c>
      <c r="BR129" s="152">
        <f t="shared" si="12"/>
        <v>4.0999999999999996</v>
      </c>
      <c r="BT129" s="181" t="s">
        <v>519</v>
      </c>
      <c r="BY129" t="str">
        <f t="shared" si="13"/>
        <v>Wind speed category between 6.75 and 7.0 m/s gives 1500 MW (4.1 TWh) in 2050</v>
      </c>
    </row>
    <row r="130" spans="26:77" x14ac:dyDescent="0.25">
      <c r="AA130">
        <v>15</v>
      </c>
      <c r="AB130">
        <v>1.1000000000000001</v>
      </c>
      <c r="AG130" s="153" t="s">
        <v>520</v>
      </c>
      <c r="AH130" t="s">
        <v>521</v>
      </c>
      <c r="AJ130">
        <v>250</v>
      </c>
      <c r="AK130" s="179">
        <f t="shared" si="14"/>
        <v>0.31367628607277293</v>
      </c>
      <c r="AM130">
        <f t="shared" si="2"/>
        <v>3100</v>
      </c>
      <c r="AO130" s="1">
        <v>2650</v>
      </c>
      <c r="AP130" s="182" t="s">
        <v>522</v>
      </c>
      <c r="AQ130" s="185">
        <f>AM130*AO130/1000000</f>
        <v>8.2149999999999999</v>
      </c>
      <c r="AR130" s="182">
        <f t="shared" si="4"/>
        <v>3100</v>
      </c>
      <c r="AS130" s="188">
        <f t="shared" si="5"/>
        <v>0.31</v>
      </c>
      <c r="AT130" s="192">
        <f t="shared" si="6"/>
        <v>1.55</v>
      </c>
      <c r="AU130" s="193">
        <f t="shared" si="6"/>
        <v>3.41</v>
      </c>
      <c r="AV130" s="194">
        <f t="shared" si="6"/>
        <v>4.6500000000000004</v>
      </c>
      <c r="AW130" s="79">
        <f t="shared" si="7"/>
        <v>12322.500000000002</v>
      </c>
      <c r="AX130" t="str">
        <f t="shared" si="1"/>
        <v>2650 full load hours: Wind speed category: below  6.75 m/s</v>
      </c>
      <c r="BE130" t="str">
        <f t="shared" si="8"/>
        <v>Wind speed category: below  6.75 m/s  - full load hours estimated as 2650 hrs/year</v>
      </c>
      <c r="BN130" s="211">
        <f t="shared" si="9"/>
        <v>12322.500000000002</v>
      </c>
      <c r="BO130" s="152">
        <f t="shared" si="10"/>
        <v>12.3</v>
      </c>
      <c r="BP130" s="152"/>
      <c r="BQ130" s="211">
        <f t="shared" si="11"/>
        <v>11816.74338319908</v>
      </c>
      <c r="BR130" s="152">
        <f t="shared" si="12"/>
        <v>11.8</v>
      </c>
      <c r="BT130" s="182" t="s">
        <v>523</v>
      </c>
      <c r="BY130" t="str">
        <f t="shared" si="13"/>
        <v>Wind speed category below  6.75 m/s gives 4650 MW (11.8 TWh) in 2050</v>
      </c>
    </row>
    <row r="131" spans="26:77" x14ac:dyDescent="0.25">
      <c r="AA131">
        <v>22</v>
      </c>
      <c r="AB131">
        <v>1.5</v>
      </c>
      <c r="AG131" s="153"/>
      <c r="AH131" t="s">
        <v>524</v>
      </c>
      <c r="AJ131">
        <f>SUM(AJ125:AJ130)</f>
        <v>797</v>
      </c>
      <c r="AK131" s="179">
        <f t="shared" si="14"/>
        <v>1</v>
      </c>
      <c r="AM131">
        <f>SUM(AM125:AM130)</f>
        <v>10000</v>
      </c>
      <c r="AO131" s="1"/>
      <c r="AP131" s="195" t="s">
        <v>524</v>
      </c>
      <c r="AQ131" s="196">
        <f>SUM(AQ125:AQ130)</f>
        <v>31.283999999999999</v>
      </c>
      <c r="AR131" s="195">
        <f>AM131</f>
        <v>10000</v>
      </c>
      <c r="AS131" s="205">
        <f t="shared" si="5"/>
        <v>1</v>
      </c>
      <c r="AT131" s="206">
        <v>5</v>
      </c>
      <c r="AU131" s="207">
        <v>11</v>
      </c>
      <c r="AV131" s="208">
        <v>15</v>
      </c>
      <c r="AW131" s="210">
        <f>SUM(AW125:AW130)/AV131</f>
        <v>3128.4</v>
      </c>
      <c r="BN131" s="211">
        <f>SUM(BN125:BN130)</f>
        <v>46926</v>
      </c>
      <c r="BO131" s="152">
        <f>SUM(BO125:BO130)</f>
        <v>46.900000000000006</v>
      </c>
      <c r="BP131" s="152"/>
      <c r="BQ131" s="211">
        <f>SUM(BQ125:BQ130)</f>
        <v>44999.999999999993</v>
      </c>
      <c r="BR131" s="152">
        <f>SUM(BR125:BR130)</f>
        <v>44.900000000000006</v>
      </c>
      <c r="BT131" s="181" t="s">
        <v>525</v>
      </c>
      <c r="BY131" t="str">
        <f>CONCATENATE(BT131," gives ",TEXT(AV131*1000,"0")," MW (",TEXT(BR131,"0.0")," TWh)")</f>
        <v>Total potential in 2050 at comparable geografical density gives 15000 MW (44.9 TWh)</v>
      </c>
    </row>
    <row r="132" spans="26:77" ht="15.75" customHeight="1" x14ac:dyDescent="0.25">
      <c r="AA132">
        <v>42</v>
      </c>
      <c r="AB132">
        <v>3</v>
      </c>
    </row>
    <row r="133" spans="26:77" x14ac:dyDescent="0.25">
      <c r="AA133">
        <v>3</v>
      </c>
      <c r="AB133">
        <v>0.2</v>
      </c>
      <c r="AJ133" t="s">
        <v>526</v>
      </c>
      <c r="AL133">
        <v>10</v>
      </c>
      <c r="AM133" t="s">
        <v>527</v>
      </c>
      <c r="BM133" t="s">
        <v>528</v>
      </c>
      <c r="BN133" s="211">
        <f>BN131/$AV131</f>
        <v>3128.4</v>
      </c>
      <c r="BO133" s="211">
        <f>BO131*1000/$AV131</f>
        <v>3126.666666666667</v>
      </c>
      <c r="BP133" s="211"/>
      <c r="BQ133" s="211">
        <f>BQ131/$AV131</f>
        <v>2999.9999999999995</v>
      </c>
      <c r="BR133" s="211">
        <f>BR131*1000/$AV131</f>
        <v>2993.3333333333339</v>
      </c>
    </row>
    <row r="134" spans="26:77" x14ac:dyDescent="0.25">
      <c r="Z134" t="s">
        <v>524</v>
      </c>
      <c r="AA134">
        <f>SUM(AA104:AA133)</f>
        <v>495</v>
      </c>
      <c r="AB134">
        <f>SUM(AB104:AB133)</f>
        <v>35.200000000000003</v>
      </c>
      <c r="AC134" t="s">
        <v>529</v>
      </c>
    </row>
    <row r="135" spans="26:77" x14ac:dyDescent="0.25">
      <c r="AA135" t="s">
        <v>530</v>
      </c>
      <c r="AB135">
        <v>2750</v>
      </c>
    </row>
    <row r="136" spans="26:77" x14ac:dyDescent="0.25">
      <c r="AA136" s="126">
        <f>AA134*1000/$AB$135</f>
        <v>180</v>
      </c>
      <c r="AB136" s="178">
        <f>AB134*1000/$AB$135</f>
        <v>12.8</v>
      </c>
      <c r="AC136" s="126" t="s">
        <v>527</v>
      </c>
      <c r="AD136" t="s">
        <v>531</v>
      </c>
    </row>
    <row r="137" spans="26:77" x14ac:dyDescent="0.25">
      <c r="AD137" t="s">
        <v>532</v>
      </c>
      <c r="AE137" s="154" t="s">
        <v>533</v>
      </c>
    </row>
    <row r="158" spans="33:38" x14ac:dyDescent="0.25">
      <c r="AG158" t="s">
        <v>534</v>
      </c>
      <c r="AK158">
        <v>30</v>
      </c>
      <c r="AL158" t="s">
        <v>529</v>
      </c>
    </row>
    <row r="159" spans="33:38" x14ac:dyDescent="0.25">
      <c r="AG159" t="s">
        <v>535</v>
      </c>
      <c r="AK159">
        <v>2750</v>
      </c>
      <c r="AL159" t="s">
        <v>536</v>
      </c>
    </row>
    <row r="160" spans="33:38" x14ac:dyDescent="0.25">
      <c r="AG160" t="s">
        <v>537</v>
      </c>
      <c r="AK160">
        <f>AK158*1000/AK159</f>
        <v>10.909090909090908</v>
      </c>
    </row>
    <row r="204" ht="16.5" customHeight="1" x14ac:dyDescent="0.25"/>
    <row r="224" spans="29:38" x14ac:dyDescent="0.25">
      <c r="AC224" t="s">
        <v>538</v>
      </c>
      <c r="AL224" t="s">
        <v>539</v>
      </c>
    </row>
    <row r="225" spans="3:42" x14ac:dyDescent="0.25">
      <c r="AC225" t="s">
        <v>540</v>
      </c>
      <c r="AF225">
        <v>105</v>
      </c>
      <c r="AL225" t="s">
        <v>541</v>
      </c>
      <c r="AO225">
        <v>105</v>
      </c>
    </row>
    <row r="226" spans="3:42" x14ac:dyDescent="0.25">
      <c r="AC226" t="s">
        <v>542</v>
      </c>
      <c r="AF226">
        <v>33</v>
      </c>
      <c r="AL226" t="s">
        <v>543</v>
      </c>
      <c r="AO226">
        <v>73</v>
      </c>
    </row>
    <row r="227" spans="3:42" x14ac:dyDescent="0.25">
      <c r="AC227" t="s">
        <v>544</v>
      </c>
      <c r="AF227" s="152">
        <f>6+(33/105)*2</f>
        <v>6.6285714285714281</v>
      </c>
      <c r="AG227" t="s">
        <v>527</v>
      </c>
      <c r="AL227" t="s">
        <v>544</v>
      </c>
      <c r="AO227" s="152">
        <f>15+(73/105)*5</f>
        <v>18.476190476190474</v>
      </c>
      <c r="AP227" t="s">
        <v>529</v>
      </c>
    </row>
    <row r="229" spans="3:42" x14ac:dyDescent="0.25">
      <c r="C229" t="s">
        <v>545</v>
      </c>
      <c r="AC229" t="s">
        <v>546</v>
      </c>
      <c r="AF229" s="211">
        <f>AO227*1000/AF227</f>
        <v>2787.35632183908</v>
      </c>
    </row>
    <row r="231" spans="3:42" ht="16.5" thickBot="1" x14ac:dyDescent="0.3"/>
    <row r="232" spans="3:42" ht="45.75" thickBot="1" x14ac:dyDescent="0.3">
      <c r="C232" s="271"/>
      <c r="D232" s="214" t="s">
        <v>547</v>
      </c>
      <c r="E232" s="214" t="s">
        <v>548</v>
      </c>
      <c r="F232" s="214" t="s">
        <v>549</v>
      </c>
      <c r="G232" s="215" t="s">
        <v>550</v>
      </c>
      <c r="H232" s="214" t="s">
        <v>551</v>
      </c>
      <c r="I232" s="214" t="s">
        <v>552</v>
      </c>
      <c r="J232" s="216" t="s">
        <v>443</v>
      </c>
    </row>
    <row r="233" spans="3:42" ht="16.5" thickBot="1" x14ac:dyDescent="0.3">
      <c r="C233" s="217">
        <v>2021</v>
      </c>
      <c r="D233" s="218">
        <v>1229</v>
      </c>
      <c r="E233" s="218">
        <v>11.4</v>
      </c>
      <c r="F233" s="218">
        <v>1.03E-2</v>
      </c>
      <c r="G233" s="218">
        <v>2250</v>
      </c>
      <c r="H233" s="219">
        <v>20</v>
      </c>
      <c r="I233" s="220" t="s">
        <v>553</v>
      </c>
      <c r="J233" s="221" t="s">
        <v>554</v>
      </c>
    </row>
    <row r="234" spans="3:42" ht="16.5" thickBot="1" x14ac:dyDescent="0.3">
      <c r="C234" s="217">
        <v>2030</v>
      </c>
      <c r="D234" s="218">
        <v>1167</v>
      </c>
      <c r="E234" s="218">
        <v>10.8</v>
      </c>
      <c r="F234" s="218">
        <v>9.7999999999999997E-3</v>
      </c>
      <c r="G234" s="218">
        <v>2750</v>
      </c>
      <c r="H234" s="219">
        <v>25</v>
      </c>
      <c r="I234" s="220" t="s">
        <v>553</v>
      </c>
      <c r="J234" s="658" t="s">
        <v>555</v>
      </c>
    </row>
    <row r="235" spans="3:42" ht="16.5" thickBot="1" x14ac:dyDescent="0.3">
      <c r="C235" s="217">
        <v>2040</v>
      </c>
      <c r="D235" s="218">
        <v>1109</v>
      </c>
      <c r="E235" s="218">
        <v>10.3</v>
      </c>
      <c r="F235" s="218">
        <v>9.2999999999999992E-3</v>
      </c>
      <c r="G235" s="218">
        <v>3000</v>
      </c>
      <c r="H235" s="219">
        <v>25</v>
      </c>
      <c r="I235" s="220" t="s">
        <v>553</v>
      </c>
      <c r="J235" s="659"/>
    </row>
    <row r="236" spans="3:42" ht="16.5" thickBot="1" x14ac:dyDescent="0.3">
      <c r="C236" s="217">
        <v>2050</v>
      </c>
      <c r="D236" s="218">
        <v>1050</v>
      </c>
      <c r="E236" s="218">
        <v>9.6999999999999993</v>
      </c>
      <c r="F236" s="218">
        <v>8.8000000000000005E-3</v>
      </c>
      <c r="G236" s="218">
        <v>3000</v>
      </c>
      <c r="H236" s="219">
        <v>25</v>
      </c>
      <c r="I236" s="220" t="s">
        <v>553</v>
      </c>
      <c r="J236" s="660"/>
    </row>
    <row r="237" spans="3:42" x14ac:dyDescent="0.25">
      <c r="C237" s="272"/>
    </row>
    <row r="244" spans="2:28" x14ac:dyDescent="0.25">
      <c r="C244" t="s">
        <v>556</v>
      </c>
    </row>
    <row r="245" spans="2:28" x14ac:dyDescent="0.25">
      <c r="C245" s="211" t="s">
        <v>557</v>
      </c>
      <c r="E245" s="174" t="s">
        <v>558</v>
      </c>
      <c r="F245">
        <v>106.96</v>
      </c>
      <c r="G245" t="s">
        <v>553</v>
      </c>
    </row>
    <row r="246" spans="2:28" x14ac:dyDescent="0.25">
      <c r="D246" t="s">
        <v>559</v>
      </c>
    </row>
    <row r="247" spans="2:28" x14ac:dyDescent="0.25">
      <c r="F247" t="s">
        <v>560</v>
      </c>
    </row>
    <row r="249" spans="2:28" x14ac:dyDescent="0.25">
      <c r="F249">
        <f>100/F245/1000</f>
        <v>9.3492894540014957E-4</v>
      </c>
      <c r="G249" s="222" t="s">
        <v>561</v>
      </c>
    </row>
    <row r="251" spans="2:28" ht="16.5" thickBot="1" x14ac:dyDescent="0.3">
      <c r="D251" t="s">
        <v>562</v>
      </c>
      <c r="G251" t="s">
        <v>563</v>
      </c>
      <c r="O251" s="1"/>
      <c r="P251" s="6" t="s">
        <v>1</v>
      </c>
      <c r="Q251" s="6" t="s">
        <v>564</v>
      </c>
      <c r="R251" s="6" t="s">
        <v>565</v>
      </c>
      <c r="S251" s="6" t="s">
        <v>1</v>
      </c>
      <c r="T251" s="6" t="s">
        <v>564</v>
      </c>
      <c r="U251" s="6" t="s">
        <v>565</v>
      </c>
      <c r="V251" s="6" t="s">
        <v>1</v>
      </c>
      <c r="W251" s="6" t="s">
        <v>564</v>
      </c>
      <c r="X251" s="6" t="s">
        <v>565</v>
      </c>
      <c r="Y251" s="1"/>
      <c r="Z251" s="1"/>
      <c r="AA251" s="1"/>
      <c r="AB251" s="1"/>
    </row>
    <row r="252" spans="2:28" ht="60" customHeight="1" thickBot="1" x14ac:dyDescent="0.3">
      <c r="C252" t="s">
        <v>566</v>
      </c>
      <c r="D252" t="s">
        <v>567</v>
      </c>
      <c r="E252" t="s">
        <v>568</v>
      </c>
      <c r="F252" t="s">
        <v>569</v>
      </c>
      <c r="G252" t="s">
        <v>570</v>
      </c>
      <c r="H252" t="s">
        <v>571</v>
      </c>
      <c r="I252" t="s">
        <v>572</v>
      </c>
      <c r="O252" s="273"/>
      <c r="P252" s="225" t="s">
        <v>547</v>
      </c>
      <c r="Q252" s="225" t="s">
        <v>547</v>
      </c>
      <c r="R252" s="225" t="s">
        <v>547</v>
      </c>
      <c r="S252" s="225" t="s">
        <v>548</v>
      </c>
      <c r="T252" s="225" t="s">
        <v>548</v>
      </c>
      <c r="U252" s="225" t="s">
        <v>548</v>
      </c>
      <c r="V252" s="225" t="s">
        <v>549</v>
      </c>
      <c r="W252" s="225" t="s">
        <v>549</v>
      </c>
      <c r="X252" s="225" t="s">
        <v>549</v>
      </c>
      <c r="Y252" s="226" t="s">
        <v>550</v>
      </c>
      <c r="Z252" s="225" t="s">
        <v>551</v>
      </c>
      <c r="AA252" s="225" t="s">
        <v>552</v>
      </c>
      <c r="AB252" s="227" t="s">
        <v>443</v>
      </c>
    </row>
    <row r="253" spans="2:28" ht="16.5" thickBot="1" x14ac:dyDescent="0.3">
      <c r="B253">
        <v>0.34880962122788772</v>
      </c>
      <c r="C253">
        <v>2020</v>
      </c>
      <c r="D253">
        <v>1080000</v>
      </c>
      <c r="E253">
        <v>1200000</v>
      </c>
      <c r="F253">
        <v>1320000</v>
      </c>
      <c r="G253">
        <v>35100</v>
      </c>
      <c r="H253">
        <v>39000</v>
      </c>
      <c r="I253">
        <v>42900</v>
      </c>
      <c r="O253" s="228">
        <v>2021</v>
      </c>
      <c r="P253" s="229">
        <f>D253/1000</f>
        <v>1080</v>
      </c>
      <c r="Q253" s="229">
        <v>1229</v>
      </c>
      <c r="R253" s="229">
        <f>F253/1000</f>
        <v>1320</v>
      </c>
      <c r="S253" s="230">
        <f>(1-$P262)*T253</f>
        <v>10.26</v>
      </c>
      <c r="T253" s="230">
        <v>11.4</v>
      </c>
      <c r="U253" s="230">
        <f>(1+$Q262)*T253</f>
        <v>12.540000000000001</v>
      </c>
      <c r="V253" s="231">
        <f>(1-$P262)*W253</f>
        <v>9.2700000000000005E-3</v>
      </c>
      <c r="W253" s="231">
        <v>1.03E-2</v>
      </c>
      <c r="X253" s="231">
        <f>(1+$Q262)*W253</f>
        <v>1.1330000000000002E-2</v>
      </c>
      <c r="Y253" s="232">
        <v>2250</v>
      </c>
      <c r="Z253" s="233">
        <v>20</v>
      </c>
      <c r="AA253" s="234" t="s">
        <v>553</v>
      </c>
      <c r="AB253" s="234" t="s">
        <v>554</v>
      </c>
    </row>
    <row r="254" spans="2:28" ht="13.5" customHeight="1" thickBot="1" x14ac:dyDescent="0.3">
      <c r="C254">
        <v>2021</v>
      </c>
      <c r="D254">
        <v>1044220.9218311902</v>
      </c>
      <c r="E254">
        <v>1173268.2238404693</v>
      </c>
      <c r="F254">
        <v>1303813.1247749929</v>
      </c>
      <c r="G254">
        <v>33937.179959513684</v>
      </c>
      <c r="H254">
        <v>38131.217274815252</v>
      </c>
      <c r="I254">
        <v>42373.926555187267</v>
      </c>
      <c r="O254" s="228">
        <v>2030</v>
      </c>
      <c r="P254" s="229">
        <f>D263/1000</f>
        <v>823.86602300603818</v>
      </c>
      <c r="Q254" s="229">
        <v>1167</v>
      </c>
      <c r="R254" s="229">
        <f>F263/1000</f>
        <v>1195.4081199628222</v>
      </c>
      <c r="S254" s="230">
        <f t="shared" ref="S254:S256" si="15">(1-$P263)*T254</f>
        <v>8.8861944128765114</v>
      </c>
      <c r="T254" s="230">
        <v>10.8</v>
      </c>
      <c r="U254" s="230">
        <f t="shared" ref="U254:U256" si="16">(1+$Q263)*T254</f>
        <v>12.893636416710185</v>
      </c>
      <c r="V254" s="231">
        <f t="shared" ref="V254:V256" si="17">(1-$P263)*W254</f>
        <v>8.0633986339064632E-3</v>
      </c>
      <c r="W254" s="231">
        <v>9.7999999999999997E-3</v>
      </c>
      <c r="X254" s="231">
        <f>(1+$Q263)*W254</f>
        <v>1.1699781192940722E-2</v>
      </c>
      <c r="Y254" s="232">
        <v>2750</v>
      </c>
      <c r="Z254" s="233">
        <v>25</v>
      </c>
      <c r="AA254" s="234" t="s">
        <v>553</v>
      </c>
      <c r="AB254" s="661" t="s">
        <v>573</v>
      </c>
    </row>
    <row r="255" spans="2:28" ht="16.5" thickBot="1" x14ac:dyDescent="0.3">
      <c r="C255">
        <v>2022</v>
      </c>
      <c r="D255">
        <v>1015645.1347744697</v>
      </c>
      <c r="E255">
        <v>1151699.700744187</v>
      </c>
      <c r="F255">
        <v>1290630.7784135935</v>
      </c>
      <c r="G255">
        <v>33008.466880170265</v>
      </c>
      <c r="H255">
        <v>37430.240274186079</v>
      </c>
      <c r="I255">
        <v>41945.500298441795</v>
      </c>
      <c r="O255" s="228">
        <v>2040</v>
      </c>
      <c r="P255" s="229">
        <f>D273/1000</f>
        <v>770.67718373819218</v>
      </c>
      <c r="Q255" s="229">
        <v>1109</v>
      </c>
      <c r="R255" s="229">
        <f>F273/1000</f>
        <v>1157.192744524448</v>
      </c>
      <c r="S255" s="230">
        <f t="shared" si="15"/>
        <v>8.3289829798478703</v>
      </c>
      <c r="T255" s="230">
        <v>10.3</v>
      </c>
      <c r="U255" s="230">
        <f t="shared" si="16"/>
        <v>12.506194392309649</v>
      </c>
      <c r="V255" s="231">
        <f t="shared" si="17"/>
        <v>7.520343855590794E-3</v>
      </c>
      <c r="W255" s="231">
        <v>9.2999999999999992E-3</v>
      </c>
      <c r="X255" s="231">
        <f t="shared" ref="X255:X256" si="18">(1+$Q264)*W255</f>
        <v>1.1292000761988321E-2</v>
      </c>
      <c r="Y255" s="232">
        <v>3000</v>
      </c>
      <c r="Z255" s="233">
        <v>25</v>
      </c>
      <c r="AA255" s="234" t="s">
        <v>553</v>
      </c>
      <c r="AB255" s="662"/>
    </row>
    <row r="256" spans="2:28" ht="16.5" thickBot="1" x14ac:dyDescent="0.3">
      <c r="C256">
        <v>2023</v>
      </c>
      <c r="D256">
        <v>986929.20977778931</v>
      </c>
      <c r="E256">
        <v>1129821.8819759658</v>
      </c>
      <c r="F256">
        <v>1277144.8113926544</v>
      </c>
      <c r="G256">
        <v>32075.199317778151</v>
      </c>
      <c r="H256">
        <v>36719.21116421889</v>
      </c>
      <c r="I256">
        <v>41507.206370261272</v>
      </c>
      <c r="O256" s="228">
        <v>2050</v>
      </c>
      <c r="P256" s="229">
        <f>D283/1000</f>
        <v>735.86799723466038</v>
      </c>
      <c r="Q256" s="229">
        <v>1050</v>
      </c>
      <c r="R256" s="229">
        <f>F283/1000</f>
        <v>1131.4455122644331</v>
      </c>
      <c r="S256" s="230">
        <f t="shared" si="15"/>
        <v>7.7500876385828263</v>
      </c>
      <c r="T256" s="230">
        <v>9.6999999999999993</v>
      </c>
      <c r="U256" s="230">
        <f t="shared" si="16"/>
        <v>11.916270188788113</v>
      </c>
      <c r="V256" s="231">
        <f t="shared" si="17"/>
        <v>7.0310073422194721E-3</v>
      </c>
      <c r="W256" s="231">
        <v>8.8000000000000005E-3</v>
      </c>
      <c r="X256" s="231">
        <f t="shared" si="18"/>
        <v>1.0810636872302619E-2</v>
      </c>
      <c r="Y256" s="232">
        <v>3000</v>
      </c>
      <c r="Z256" s="233">
        <v>25</v>
      </c>
      <c r="AA256" s="234" t="s">
        <v>553</v>
      </c>
      <c r="AB256" s="663"/>
    </row>
    <row r="257" spans="3:28" x14ac:dyDescent="0.25">
      <c r="C257">
        <v>2024</v>
      </c>
      <c r="D257">
        <v>961927.58401257452</v>
      </c>
      <c r="E257">
        <v>1110601.5703620864</v>
      </c>
      <c r="F257">
        <v>1265199.2006598089</v>
      </c>
      <c r="G257">
        <v>31262.646480408672</v>
      </c>
      <c r="H257">
        <v>36094.551036767807</v>
      </c>
      <c r="I257">
        <v>41118.974021443784</v>
      </c>
    </row>
    <row r="258" spans="3:28" x14ac:dyDescent="0.25">
      <c r="C258">
        <v>2025</v>
      </c>
      <c r="D258">
        <v>937338.99503678456</v>
      </c>
      <c r="E258">
        <v>1091536.6720098832</v>
      </c>
      <c r="F258">
        <v>1253257.4428425732</v>
      </c>
      <c r="G258">
        <v>30463.517338695496</v>
      </c>
      <c r="H258">
        <v>35474.941840321204</v>
      </c>
      <c r="I258">
        <v>40730.86689238363</v>
      </c>
    </row>
    <row r="259" spans="3:28" x14ac:dyDescent="0.25">
      <c r="C259">
        <v>2026</v>
      </c>
      <c r="D259">
        <v>910349.39383569709</v>
      </c>
      <c r="E259">
        <v>1070418.307546084</v>
      </c>
      <c r="F259">
        <v>1239918.772190219</v>
      </c>
      <c r="G259">
        <v>29586.355299660154</v>
      </c>
      <c r="H259">
        <v>34788.594995247731</v>
      </c>
      <c r="I259">
        <v>40297.360096182121</v>
      </c>
      <c r="O259" t="s">
        <v>574</v>
      </c>
    </row>
    <row r="260" spans="3:28" x14ac:dyDescent="0.25">
      <c r="C260">
        <v>2027</v>
      </c>
      <c r="D260">
        <v>885837.98623358132</v>
      </c>
      <c r="E260">
        <v>1051058.6065602286</v>
      </c>
      <c r="F260">
        <v>1227585.9339869327</v>
      </c>
      <c r="G260">
        <v>28789.734552591392</v>
      </c>
      <c r="H260">
        <v>34159.404713207434</v>
      </c>
      <c r="I260">
        <v>39896.542854575317</v>
      </c>
      <c r="O260" t="s">
        <v>575</v>
      </c>
    </row>
    <row r="261" spans="3:28" x14ac:dyDescent="0.25">
      <c r="C261">
        <v>2028</v>
      </c>
      <c r="D261">
        <v>863440.01490094233</v>
      </c>
      <c r="E261">
        <v>1033212.3974486586</v>
      </c>
      <c r="F261">
        <v>1216125.9111210397</v>
      </c>
      <c r="G261">
        <v>28061.800484280626</v>
      </c>
      <c r="H261">
        <v>33579.402917081403</v>
      </c>
      <c r="I261">
        <v>39524.092111433783</v>
      </c>
      <c r="P261" s="179" t="s">
        <v>576</v>
      </c>
      <c r="Q261" t="s">
        <v>577</v>
      </c>
      <c r="R261" s="179"/>
    </row>
    <row r="262" spans="3:28" x14ac:dyDescent="0.25">
      <c r="C262">
        <v>2029</v>
      </c>
      <c r="D262">
        <v>842862.29081746808</v>
      </c>
      <c r="E262">
        <v>1016680.8666716174</v>
      </c>
      <c r="F262">
        <v>1205429.9657256678</v>
      </c>
      <c r="G262">
        <v>27393.024451567715</v>
      </c>
      <c r="H262">
        <v>33042.128166827562</v>
      </c>
      <c r="I262">
        <v>39176.473886084204</v>
      </c>
      <c r="O262">
        <v>2020</v>
      </c>
      <c r="P262" s="179">
        <v>0.1</v>
      </c>
      <c r="Q262" s="179">
        <v>0.1</v>
      </c>
      <c r="S262" s="179"/>
      <c r="T262" s="174" t="str">
        <f>CONCATENATE("Min. est. (-",TEXT(P262,"0%"),")")</f>
        <v>Min. est. (-10%)</v>
      </c>
      <c r="U262" t="str">
        <f>CONCATENATE("Max. est. (+",TEXT(Q262,"0%"),")")</f>
        <v>Max. est. (+10%)</v>
      </c>
    </row>
    <row r="263" spans="3:28" x14ac:dyDescent="0.25">
      <c r="C263">
        <v>2030</v>
      </c>
      <c r="D263">
        <v>823866.02300603816</v>
      </c>
      <c r="E263">
        <v>1001300.740795402</v>
      </c>
      <c r="F263">
        <v>1195408.1199628222</v>
      </c>
      <c r="G263">
        <v>26775.645747696242</v>
      </c>
      <c r="H263">
        <v>32542.274075850564</v>
      </c>
      <c r="I263">
        <v>38850.763898791723</v>
      </c>
      <c r="O263">
        <v>2030</v>
      </c>
      <c r="P263" s="179">
        <v>0.17720422102995267</v>
      </c>
      <c r="Q263" s="179">
        <v>0.19385522376946157</v>
      </c>
      <c r="S263" s="179"/>
      <c r="T263" s="174" t="str">
        <f t="shared" ref="T263:T265" si="19">CONCATENATE("Min. est. (-",TEXT(P263,"0%"),")")</f>
        <v>Min. est. (-18%)</v>
      </c>
      <c r="U263" t="str">
        <f t="shared" ref="U263:U265" si="20">CONCATENATE("Max. est. (+",TEXT(Q263,"0%"),")")</f>
        <v>Max. est. (+19%)</v>
      </c>
    </row>
    <row r="264" spans="3:28" x14ac:dyDescent="0.25">
      <c r="C264">
        <v>2031</v>
      </c>
      <c r="D264">
        <v>817173.63260479236</v>
      </c>
      <c r="E264">
        <v>995275.81394910382</v>
      </c>
      <c r="F264">
        <v>1190670.812845828</v>
      </c>
      <c r="G264">
        <v>26558.143059655755</v>
      </c>
      <c r="H264">
        <v>32346.463953345876</v>
      </c>
      <c r="I264">
        <v>38696.801417489412</v>
      </c>
      <c r="O264">
        <v>2040</v>
      </c>
      <c r="P264" s="179">
        <v>0.19136087574292529</v>
      </c>
      <c r="Q264" s="179">
        <v>0.21419363032132502</v>
      </c>
      <c r="S264" s="179"/>
      <c r="T264" s="174" t="str">
        <f t="shared" si="19"/>
        <v>Min. est. (-19%)</v>
      </c>
      <c r="U264" t="str">
        <f t="shared" si="20"/>
        <v>Max. est. (+21%)</v>
      </c>
    </row>
    <row r="265" spans="3:28" x14ac:dyDescent="0.25">
      <c r="C265">
        <v>2032</v>
      </c>
      <c r="D265">
        <v>810872.42164704797</v>
      </c>
      <c r="E265">
        <v>989591.31377703382</v>
      </c>
      <c r="F265">
        <v>1186192.1760701798</v>
      </c>
      <c r="G265">
        <v>26353.353703529065</v>
      </c>
      <c r="H265">
        <v>32161.7176977536</v>
      </c>
      <c r="I265">
        <v>38551.245722280844</v>
      </c>
      <c r="O265">
        <v>2050</v>
      </c>
      <c r="P265" s="179">
        <v>0.20102189292960546</v>
      </c>
      <c r="Q265" s="179">
        <v>0.2284814627616612</v>
      </c>
      <c r="S265" s="179"/>
      <c r="T265" s="174" t="str">
        <f t="shared" si="19"/>
        <v>Min. est. (-20%)</v>
      </c>
      <c r="U265" t="str">
        <f t="shared" si="20"/>
        <v>Max. est. (+23%)</v>
      </c>
    </row>
    <row r="266" spans="3:28" x14ac:dyDescent="0.25">
      <c r="C266">
        <v>2033</v>
      </c>
      <c r="D266">
        <v>804921.73300321063</v>
      </c>
      <c r="E266">
        <v>984212.47420602129</v>
      </c>
      <c r="F266">
        <v>1181946.2494596858</v>
      </c>
      <c r="G266">
        <v>26159.956322604346</v>
      </c>
      <c r="H266">
        <v>31986.90541169569</v>
      </c>
      <c r="I266">
        <v>38413.253107439792</v>
      </c>
    </row>
    <row r="267" spans="3:28" x14ac:dyDescent="0.25">
      <c r="C267">
        <v>2034</v>
      </c>
      <c r="D267">
        <v>799286.81457146211</v>
      </c>
      <c r="E267">
        <v>979109.5199205922</v>
      </c>
      <c r="F267">
        <v>1177910.7567759159</v>
      </c>
      <c r="G267">
        <v>25976.82147357252</v>
      </c>
      <c r="H267">
        <v>31821.059397419249</v>
      </c>
      <c r="I267">
        <v>38282.099595217267</v>
      </c>
    </row>
    <row r="268" spans="3:28" ht="16.5" thickBot="1" x14ac:dyDescent="0.3">
      <c r="C268">
        <v>2035</v>
      </c>
      <c r="D268">
        <v>793937.73915452475</v>
      </c>
      <c r="E268">
        <v>974256.76134997618</v>
      </c>
      <c r="F268">
        <v>1174066.4433499377</v>
      </c>
      <c r="G268">
        <v>25802.976522522058</v>
      </c>
      <c r="H268">
        <v>31663.344743874226</v>
      </c>
      <c r="I268">
        <v>38157.159408872976</v>
      </c>
      <c r="O268" s="1"/>
      <c r="P268" s="6" t="s">
        <v>578</v>
      </c>
      <c r="Q268" s="6" t="s">
        <v>564</v>
      </c>
      <c r="R268" s="6" t="s">
        <v>577</v>
      </c>
      <c r="S268" s="6" t="s">
        <v>578</v>
      </c>
      <c r="T268" s="6" t="s">
        <v>564</v>
      </c>
      <c r="U268" s="6" t="s">
        <v>577</v>
      </c>
      <c r="V268" s="6" t="s">
        <v>578</v>
      </c>
      <c r="W268" s="6" t="s">
        <v>564</v>
      </c>
      <c r="X268" s="6" t="s">
        <v>577</v>
      </c>
      <c r="Y268" s="1"/>
      <c r="Z268" s="1"/>
      <c r="AA268" s="1"/>
      <c r="AB268" s="1"/>
    </row>
    <row r="269" spans="3:28" ht="45.75" thickBot="1" x14ac:dyDescent="0.3">
      <c r="C269">
        <v>2036</v>
      </c>
      <c r="D269">
        <v>788848.55917759682</v>
      </c>
      <c r="E269">
        <v>969631.88508379913</v>
      </c>
      <c r="F269">
        <v>1170396.5557897815</v>
      </c>
      <c r="G269">
        <v>25637.578173271901</v>
      </c>
      <c r="H269">
        <v>31513.036265223469</v>
      </c>
      <c r="I269">
        <v>38037.888063167899</v>
      </c>
      <c r="O269" s="273"/>
      <c r="P269" s="225" t="s">
        <v>547</v>
      </c>
      <c r="Q269" s="225" t="s">
        <v>547</v>
      </c>
      <c r="R269" s="225" t="s">
        <v>547</v>
      </c>
      <c r="S269" s="225" t="s">
        <v>548</v>
      </c>
      <c r="T269" s="225" t="s">
        <v>548</v>
      </c>
      <c r="U269" s="225" t="s">
        <v>548</v>
      </c>
      <c r="V269" s="225" t="s">
        <v>549</v>
      </c>
      <c r="W269" s="225" t="s">
        <v>549</v>
      </c>
      <c r="X269" s="225" t="s">
        <v>549</v>
      </c>
      <c r="Y269" s="226" t="s">
        <v>550</v>
      </c>
      <c r="Z269" s="225" t="s">
        <v>551</v>
      </c>
      <c r="AA269" s="225" t="s">
        <v>552</v>
      </c>
      <c r="AB269" s="227" t="s">
        <v>443</v>
      </c>
    </row>
    <row r="270" spans="3:28" ht="16.5" thickBot="1" x14ac:dyDescent="0.3">
      <c r="C270">
        <v>2037</v>
      </c>
      <c r="D270">
        <v>783996.63773961808</v>
      </c>
      <c r="E270">
        <v>965215.39129997313</v>
      </c>
      <c r="F270">
        <v>1166886.4287580238</v>
      </c>
      <c r="G270">
        <v>25479.890726537589</v>
      </c>
      <c r="H270">
        <v>31369.500217249126</v>
      </c>
      <c r="I270">
        <v>37923.808934635774</v>
      </c>
      <c r="O270" s="228">
        <v>2021</v>
      </c>
      <c r="P270" s="235">
        <f>P253*$F$249</f>
        <v>1.0097232610321616</v>
      </c>
      <c r="Q270" s="235">
        <f t="shared" ref="Q270:X270" si="21">Q253*$F$249</f>
        <v>1.1490276738967837</v>
      </c>
      <c r="R270" s="235">
        <f t="shared" si="21"/>
        <v>1.2341062079281975</v>
      </c>
      <c r="S270" s="231">
        <f t="shared" si="21"/>
        <v>9.5923709798055347E-3</v>
      </c>
      <c r="T270" s="231">
        <f t="shared" si="21"/>
        <v>1.0658189977561705E-2</v>
      </c>
      <c r="U270" s="231">
        <f t="shared" si="21"/>
        <v>1.1724008975317876E-2</v>
      </c>
      <c r="V270" s="236">
        <f t="shared" si="21"/>
        <v>8.6667913238593867E-6</v>
      </c>
      <c r="W270" s="236">
        <f t="shared" si="21"/>
        <v>9.6297681376215405E-6</v>
      </c>
      <c r="X270" s="236">
        <f t="shared" si="21"/>
        <v>1.0592744951383696E-5</v>
      </c>
      <c r="Y270" s="232">
        <v>2250</v>
      </c>
      <c r="Z270" s="233">
        <v>20</v>
      </c>
      <c r="AA270" s="234" t="s">
        <v>579</v>
      </c>
      <c r="AB270" s="234" t="s">
        <v>554</v>
      </c>
    </row>
    <row r="271" spans="3:28" ht="16.5" thickBot="1" x14ac:dyDescent="0.3">
      <c r="C271">
        <v>2038</v>
      </c>
      <c r="D271">
        <v>779362.11377811932</v>
      </c>
      <c r="E271">
        <v>960990.14320342639</v>
      </c>
      <c r="F271">
        <v>1163523.1534683199</v>
      </c>
      <c r="G271">
        <v>25329.268697788881</v>
      </c>
      <c r="H271">
        <v>31232.179654111358</v>
      </c>
      <c r="I271">
        <v>37814.502487720398</v>
      </c>
      <c r="O271" s="228">
        <v>2030</v>
      </c>
      <c r="P271" s="235">
        <f t="shared" ref="P271:X271" si="22">P254*$F$249</f>
        <v>0.77025619204005058</v>
      </c>
      <c r="Q271" s="235">
        <f t="shared" si="22"/>
        <v>1.0910620792819745</v>
      </c>
      <c r="R271" s="235">
        <f t="shared" si="22"/>
        <v>1.1176216529196168</v>
      </c>
      <c r="S271" s="231">
        <f t="shared" si="22"/>
        <v>8.3079603710513386E-3</v>
      </c>
      <c r="T271" s="231">
        <f t="shared" si="22"/>
        <v>1.0097232610321616E-2</v>
      </c>
      <c r="U271" s="231">
        <f t="shared" si="22"/>
        <v>1.2054633897447818E-2</v>
      </c>
      <c r="V271" s="236">
        <f t="shared" si="22"/>
        <v>7.5387047811391766E-6</v>
      </c>
      <c r="W271" s="236">
        <f t="shared" si="22"/>
        <v>9.1623036649214652E-6</v>
      </c>
      <c r="X271" s="236">
        <f t="shared" si="22"/>
        <v>1.0938464092128572E-5</v>
      </c>
      <c r="Y271" s="232">
        <v>2750</v>
      </c>
      <c r="Z271" s="233">
        <v>25</v>
      </c>
      <c r="AA271" s="234" t="s">
        <v>579</v>
      </c>
      <c r="AB271" s="661" t="s">
        <v>573</v>
      </c>
    </row>
    <row r="272" spans="3:28" ht="16.5" thickBot="1" x14ac:dyDescent="0.3">
      <c r="C272">
        <v>2039</v>
      </c>
      <c r="D272">
        <v>774927.470440684</v>
      </c>
      <c r="E272">
        <v>956941.00280837389</v>
      </c>
      <c r="F272">
        <v>1160295.3092788274</v>
      </c>
      <c r="G272">
        <v>25185.142789322232</v>
      </c>
      <c r="H272">
        <v>31100.582591272152</v>
      </c>
      <c r="I272">
        <v>37709.597551561892</v>
      </c>
      <c r="O272" s="228">
        <v>2040</v>
      </c>
      <c r="P272" s="235">
        <f t="shared" ref="P272:X272" si="23">P255*$F$249</f>
        <v>0.72052840663630535</v>
      </c>
      <c r="Q272" s="235">
        <f t="shared" si="23"/>
        <v>1.0368362004487659</v>
      </c>
      <c r="R272" s="235">
        <f t="shared" si="23"/>
        <v>1.081892992262947</v>
      </c>
      <c r="S272" s="231">
        <f t="shared" si="23"/>
        <v>7.7870072736049645E-3</v>
      </c>
      <c r="T272" s="231">
        <f t="shared" si="23"/>
        <v>9.6297681376215413E-3</v>
      </c>
      <c r="U272" s="231">
        <f t="shared" si="23"/>
        <v>1.1692403134171324E-2</v>
      </c>
      <c r="V272" s="236">
        <f t="shared" si="23"/>
        <v>7.0309871499539954E-6</v>
      </c>
      <c r="W272" s="236">
        <f t="shared" si="23"/>
        <v>8.6948391922213899E-6</v>
      </c>
      <c r="X272" s="236">
        <f t="shared" si="23"/>
        <v>1.0557218363863427E-5</v>
      </c>
      <c r="Y272" s="232">
        <v>3000</v>
      </c>
      <c r="Z272" s="233">
        <v>25</v>
      </c>
      <c r="AA272" s="234" t="s">
        <v>579</v>
      </c>
      <c r="AB272" s="662"/>
    </row>
    <row r="273" spans="3:28" ht="16.5" thickBot="1" x14ac:dyDescent="0.3">
      <c r="C273">
        <v>2040</v>
      </c>
      <c r="D273">
        <v>770677.18373819219</v>
      </c>
      <c r="E273">
        <v>953054.53399406141</v>
      </c>
      <c r="F273">
        <v>1157192.7445244479</v>
      </c>
      <c r="G273">
        <v>25047.008471491248</v>
      </c>
      <c r="H273">
        <v>30974.272354806995</v>
      </c>
      <c r="I273">
        <v>37608.764197044562</v>
      </c>
      <c r="O273" s="228">
        <v>2050</v>
      </c>
      <c r="P273" s="235">
        <f t="shared" ref="P273:X273" si="24">P256*$F$249</f>
        <v>0.68798429060832123</v>
      </c>
      <c r="Q273" s="235">
        <f t="shared" si="24"/>
        <v>0.98167539267015702</v>
      </c>
      <c r="R273" s="235">
        <f t="shared" si="24"/>
        <v>1.0578211595591185</v>
      </c>
      <c r="S273" s="231">
        <f t="shared" si="24"/>
        <v>7.2457812626989778E-3</v>
      </c>
      <c r="T273" s="231">
        <f t="shared" si="24"/>
        <v>9.0688107703814497E-3</v>
      </c>
      <c r="U273" s="231">
        <f t="shared" si="24"/>
        <v>1.1140865920706912E-2</v>
      </c>
      <c r="V273" s="236">
        <f t="shared" si="24"/>
        <v>6.5734922795619592E-6</v>
      </c>
      <c r="W273" s="236">
        <f t="shared" si="24"/>
        <v>8.2273747195213163E-6</v>
      </c>
      <c r="X273" s="236">
        <f t="shared" si="24"/>
        <v>1.0107177330125859E-5</v>
      </c>
      <c r="Y273" s="232">
        <v>3000</v>
      </c>
      <c r="Z273" s="233">
        <v>25</v>
      </c>
      <c r="AA273" s="234" t="s">
        <v>579</v>
      </c>
      <c r="AB273" s="663"/>
    </row>
    <row r="274" spans="3:28" x14ac:dyDescent="0.25">
      <c r="C274">
        <v>2041</v>
      </c>
      <c r="D274">
        <v>766597.43426913593</v>
      </c>
      <c r="E274">
        <v>949318.7584943634</v>
      </c>
      <c r="F274">
        <v>1154206.3961512067</v>
      </c>
      <c r="G274">
        <v>24914.416613746918</v>
      </c>
      <c r="H274">
        <v>30852.85965106681</v>
      </c>
      <c r="I274">
        <v>37511.707874914217</v>
      </c>
    </row>
    <row r="275" spans="3:28" x14ac:dyDescent="0.25">
      <c r="C275">
        <v>2042</v>
      </c>
      <c r="D275">
        <v>762675.86894953263</v>
      </c>
      <c r="E275">
        <v>945722.95391864749</v>
      </c>
      <c r="F275">
        <v>1151328.1402057949</v>
      </c>
      <c r="G275">
        <v>24786.965740859814</v>
      </c>
      <c r="H275">
        <v>30735.996002356045</v>
      </c>
      <c r="I275">
        <v>37418.164556688338</v>
      </c>
    </row>
    <row r="276" spans="3:28" x14ac:dyDescent="0.25">
      <c r="C276">
        <v>2043</v>
      </c>
      <c r="D276">
        <v>758901.40272722137</v>
      </c>
      <c r="E276">
        <v>942257.48542928719</v>
      </c>
      <c r="F276">
        <v>1148550.6670671818</v>
      </c>
      <c r="G276">
        <v>24664.295588634697</v>
      </c>
      <c r="H276">
        <v>30623.368276451834</v>
      </c>
      <c r="I276">
        <v>37327.896679683414</v>
      </c>
    </row>
    <row r="277" spans="3:28" x14ac:dyDescent="0.25">
      <c r="C277">
        <v>2044</v>
      </c>
      <c r="D277">
        <v>755264.0525205388</v>
      </c>
      <c r="E277">
        <v>938913.66458165308</v>
      </c>
      <c r="F277">
        <v>1145867.3766732903</v>
      </c>
      <c r="G277">
        <v>24546.081706917514</v>
      </c>
      <c r="H277">
        <v>30514.694098903725</v>
      </c>
      <c r="I277">
        <v>37240.689741881935</v>
      </c>
    </row>
    <row r="278" spans="3:28" x14ac:dyDescent="0.25">
      <c r="C278">
        <v>2045</v>
      </c>
      <c r="D278">
        <v>751754.79731877451</v>
      </c>
      <c r="E278">
        <v>935683.63024596847</v>
      </c>
      <c r="F278">
        <v>1143272.2900240296</v>
      </c>
      <c r="G278">
        <v>24432.030912860177</v>
      </c>
      <c r="H278">
        <v>30409.717982993974</v>
      </c>
      <c r="I278">
        <v>37156.349425780965</v>
      </c>
    </row>
    <row r="279" spans="3:28" x14ac:dyDescent="0.25">
      <c r="C279">
        <v>2046</v>
      </c>
      <c r="D279">
        <v>748365.45966853958</v>
      </c>
      <c r="E279">
        <v>932560.24760342517</v>
      </c>
      <c r="F279">
        <v>1140759.9740235715</v>
      </c>
      <c r="G279">
        <v>24321.877439227537</v>
      </c>
      <c r="H279">
        <v>30308.208047111319</v>
      </c>
      <c r="I279">
        <v>37074.699155766073</v>
      </c>
    </row>
    <row r="280" spans="3:28" x14ac:dyDescent="0.25">
      <c r="C280">
        <v>2047</v>
      </c>
      <c r="D280">
        <v>745088.60475458554</v>
      </c>
      <c r="E280">
        <v>929537.02203093085</v>
      </c>
      <c r="F280">
        <v>1138325.4773242576</v>
      </c>
      <c r="G280">
        <v>24215.379654524029</v>
      </c>
      <c r="H280">
        <v>30209.953216005255</v>
      </c>
      <c r="I280">
        <v>36995.578013038372</v>
      </c>
    </row>
    <row r="281" spans="3:28" x14ac:dyDescent="0.25">
      <c r="C281">
        <v>2048</v>
      </c>
      <c r="D281">
        <v>741917.45404321118</v>
      </c>
      <c r="E281">
        <v>926608.02532391436</v>
      </c>
      <c r="F281">
        <v>1135964.2752982699</v>
      </c>
      <c r="G281">
        <v>24112.317256404367</v>
      </c>
      <c r="H281">
        <v>30114.760823027216</v>
      </c>
      <c r="I281">
        <v>36918.83894719377</v>
      </c>
    </row>
    <row r="282" spans="3:28" x14ac:dyDescent="0.25">
      <c r="C282">
        <v>2049</v>
      </c>
      <c r="D282">
        <v>738845.81104724237</v>
      </c>
      <c r="E282">
        <v>923767.83220120159</v>
      </c>
      <c r="F282">
        <v>1133672.2226247881</v>
      </c>
      <c r="G282">
        <v>24012.48885903538</v>
      </c>
      <c r="H282">
        <v>30022.454546539055</v>
      </c>
      <c r="I282">
        <v>36844.347235305613</v>
      </c>
    </row>
    <row r="283" spans="3:28" x14ac:dyDescent="0.25">
      <c r="C283">
        <v>2050</v>
      </c>
      <c r="D283">
        <v>735867.99723466043</v>
      </c>
      <c r="E283">
        <v>921011.46542407863</v>
      </c>
      <c r="F283">
        <v>1131445.5122644331</v>
      </c>
      <c r="G283">
        <v>23915.709910126465</v>
      </c>
      <c r="H283">
        <v>29932.872626282555</v>
      </c>
      <c r="I283">
        <v>36771.97914859408</v>
      </c>
    </row>
  </sheetData>
  <mergeCells count="3">
    <mergeCell ref="J234:J236"/>
    <mergeCell ref="AB254:AB256"/>
    <mergeCell ref="AB271:AB273"/>
  </mergeCells>
  <conditionalFormatting sqref="O204:AG204">
    <cfRule type="containsText" dxfId="0" priority="1" operator="containsText" text="Specify complete references and data sources used here">
      <formula>NOT(ISERROR(SEARCH("Specify complete references and data sources used here",O204)))</formula>
    </cfRule>
  </conditionalFormatting>
  <hyperlinks>
    <hyperlink ref="R110" r:id="rId1" display="https://www.ise.fraunhofer.de/content/dam/ise/de/documents/publications/studies/AgoraEnergiewende_Current_and_Future_Cost_of_PV_Feb2015_web.pdf" xr:uid="{0077ECE7-E0E0-4EE5-9E74-12D8CDEB49B7}"/>
    <hyperlink ref="K6" r:id="rId2" xr:uid="{F550ED87-F1CF-401F-8BB9-5679DA05FE5B}"/>
    <hyperlink ref="J49" r:id="rId3" xr:uid="{7EEA92AF-8EB0-45A6-A61B-0A523E7EBD30}"/>
    <hyperlink ref="AE137" r:id="rId4" xr:uid="{0E5F4825-88E4-45EB-B3A2-7588D9B5907E}"/>
  </hyperlinks>
  <pageMargins left="0.7" right="0.7" top="0.75" bottom="0.75" header="0.3" footer="0.3"/>
  <pageSetup orientation="portrait" horizontalDpi="360" verticalDpi="360"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2F2C1-71EF-467B-83A1-D12435973DBC}">
  <sheetPr>
    <tabColor theme="8"/>
  </sheetPr>
  <dimension ref="A1:Y44"/>
  <sheetViews>
    <sheetView showGridLines="0" topLeftCell="A13" workbookViewId="0">
      <selection activeCell="D9" sqref="F9"/>
    </sheetView>
  </sheetViews>
  <sheetFormatPr defaultColWidth="9" defaultRowHeight="15" x14ac:dyDescent="0.25"/>
  <cols>
    <col min="1" max="1" width="16.375" style="160" customWidth="1"/>
    <col min="2" max="2" width="9.375" style="160" customWidth="1"/>
    <col min="3" max="3" width="12" style="160" bestFit="1" customWidth="1"/>
    <col min="4" max="11" width="7.625" style="160" customWidth="1"/>
    <col min="12" max="14" width="9" style="160"/>
    <col min="15" max="15" width="16.375" style="160" customWidth="1"/>
    <col min="16" max="16" width="9.375" style="160" customWidth="1"/>
    <col min="17" max="17" width="12" style="160" bestFit="1" customWidth="1"/>
    <col min="18" max="22" width="7.625" style="160" customWidth="1"/>
    <col min="23" max="16384" width="9" style="160"/>
  </cols>
  <sheetData>
    <row r="1" spans="1:25" ht="21" x14ac:dyDescent="0.35">
      <c r="A1" s="159" t="s">
        <v>263</v>
      </c>
    </row>
    <row r="3" spans="1:25" ht="15.75" thickBot="1" x14ac:dyDescent="0.3">
      <c r="A3" s="161" t="s">
        <v>580</v>
      </c>
      <c r="O3" s="161" t="s">
        <v>581</v>
      </c>
    </row>
    <row r="4" spans="1:25" ht="15.75" thickBot="1" x14ac:dyDescent="0.3">
      <c r="A4" s="675"/>
      <c r="B4" s="676"/>
      <c r="C4" s="162" t="s">
        <v>0</v>
      </c>
      <c r="D4" s="163">
        <v>2015</v>
      </c>
      <c r="E4" s="163">
        <v>2020</v>
      </c>
      <c r="F4" s="163">
        <v>2025</v>
      </c>
      <c r="G4" s="163">
        <v>2030</v>
      </c>
      <c r="H4" s="163">
        <v>2035</v>
      </c>
      <c r="I4" s="163">
        <v>2040</v>
      </c>
      <c r="J4" s="163">
        <v>2045</v>
      </c>
      <c r="K4" s="163">
        <v>2050</v>
      </c>
      <c r="O4" s="667"/>
      <c r="P4" s="668"/>
      <c r="Q4" s="162" t="s">
        <v>0</v>
      </c>
      <c r="R4" s="164">
        <v>2015</v>
      </c>
      <c r="S4" s="164">
        <v>2020</v>
      </c>
      <c r="T4" s="164">
        <v>2025</v>
      </c>
      <c r="U4" s="164">
        <v>2030</v>
      </c>
      <c r="V4" s="164">
        <v>2035</v>
      </c>
      <c r="W4" s="164">
        <v>2040</v>
      </c>
      <c r="X4" s="164">
        <v>2045</v>
      </c>
      <c r="Y4" s="164">
        <v>2050</v>
      </c>
    </row>
    <row r="5" spans="1:25" ht="16.5" customHeight="1" thickTop="1" thickBot="1" x14ac:dyDescent="0.3">
      <c r="A5" s="669" t="s">
        <v>582</v>
      </c>
      <c r="B5" s="165" t="s">
        <v>583</v>
      </c>
      <c r="C5" s="165" t="s">
        <v>527</v>
      </c>
      <c r="D5" s="166">
        <v>403.66769999999997</v>
      </c>
      <c r="E5" s="166">
        <v>606.14927339748783</v>
      </c>
      <c r="F5" s="166">
        <v>766.39753003230362</v>
      </c>
      <c r="G5" s="166">
        <v>926.64578666711941</v>
      </c>
      <c r="H5" s="166">
        <v>1073.654746120922</v>
      </c>
      <c r="I5" s="166">
        <v>1220.6637055747244</v>
      </c>
      <c r="J5" s="166">
        <v>1370.5899421379372</v>
      </c>
      <c r="K5" s="166">
        <v>1520.5161787011502</v>
      </c>
      <c r="O5" s="669" t="s">
        <v>582</v>
      </c>
      <c r="P5" s="165" t="s">
        <v>583</v>
      </c>
      <c r="Q5" s="165" t="s">
        <v>527</v>
      </c>
      <c r="R5" s="166">
        <v>11.636700000000003</v>
      </c>
      <c r="S5" s="166">
        <v>29.848723085510589</v>
      </c>
      <c r="T5" s="166">
        <v>38.287371158789547</v>
      </c>
      <c r="U5" s="166">
        <v>46.726019232068509</v>
      </c>
      <c r="V5" s="166">
        <v>60.041552862002597</v>
      </c>
      <c r="W5" s="166">
        <v>73.357086491936684</v>
      </c>
      <c r="X5" s="166">
        <v>90.638104313916799</v>
      </c>
      <c r="Y5" s="166">
        <v>107.91912213589691</v>
      </c>
    </row>
    <row r="6" spans="1:25" ht="15.75" thickBot="1" x14ac:dyDescent="0.3">
      <c r="A6" s="670"/>
      <c r="B6" s="167" t="s">
        <v>584</v>
      </c>
      <c r="C6" s="167" t="s">
        <v>527</v>
      </c>
      <c r="D6" s="168">
        <v>403.66769999999997</v>
      </c>
      <c r="E6" s="168">
        <v>785</v>
      </c>
      <c r="F6" s="168">
        <v>1222.5</v>
      </c>
      <c r="G6" s="168">
        <v>1660</v>
      </c>
      <c r="H6" s="168">
        <v>2043</v>
      </c>
      <c r="I6" s="168">
        <v>2426</v>
      </c>
      <c r="J6" s="168">
        <v>2731.5</v>
      </c>
      <c r="K6" s="168">
        <v>3037</v>
      </c>
      <c r="O6" s="670"/>
      <c r="P6" s="167" t="s">
        <v>584</v>
      </c>
      <c r="Q6" s="167" t="s">
        <v>527</v>
      </c>
      <c r="R6" s="168">
        <v>11.636700000000003</v>
      </c>
      <c r="S6" s="168">
        <v>37.909090909090907</v>
      </c>
      <c r="T6" s="168">
        <v>79.954545454545453</v>
      </c>
      <c r="U6" s="168">
        <v>122</v>
      </c>
      <c r="V6" s="168">
        <v>194.5</v>
      </c>
      <c r="W6" s="168">
        <v>267</v>
      </c>
      <c r="X6" s="168">
        <v>352</v>
      </c>
      <c r="Y6" s="168">
        <v>437</v>
      </c>
    </row>
    <row r="7" spans="1:25" ht="15.75" thickBot="1" x14ac:dyDescent="0.3">
      <c r="A7" s="671"/>
      <c r="B7" s="165" t="s">
        <v>585</v>
      </c>
      <c r="C7" s="165" t="s">
        <v>527</v>
      </c>
      <c r="D7" s="166">
        <v>403.66769999999997</v>
      </c>
      <c r="E7" s="166">
        <v>783.88035438694976</v>
      </c>
      <c r="F7" s="166">
        <v>1483.7707675031147</v>
      </c>
      <c r="G7" s="166">
        <v>2183.6611806192795</v>
      </c>
      <c r="H7" s="166">
        <v>2842.8862409716312</v>
      </c>
      <c r="I7" s="166">
        <v>3502.1113013239824</v>
      </c>
      <c r="J7" s="166">
        <v>3972.8269031476711</v>
      </c>
      <c r="K7" s="166">
        <v>4443.5425049713594</v>
      </c>
      <c r="O7" s="671"/>
      <c r="P7" s="165" t="s">
        <v>585</v>
      </c>
      <c r="Q7" s="165" t="s">
        <v>527</v>
      </c>
      <c r="R7" s="166">
        <v>11.636700000000003</v>
      </c>
      <c r="S7" s="166">
        <v>36.515153552630487</v>
      </c>
      <c r="T7" s="166">
        <v>181.5042868077351</v>
      </c>
      <c r="U7" s="166">
        <v>326.49342006283968</v>
      </c>
      <c r="V7" s="166">
        <v>570.19890393736966</v>
      </c>
      <c r="W7" s="166">
        <v>813.90438781189971</v>
      </c>
      <c r="X7" s="166">
        <v>972.55366312951128</v>
      </c>
      <c r="Y7" s="166">
        <v>1131.202938447123</v>
      </c>
    </row>
    <row r="8" spans="1:25" ht="15.75" customHeight="1" thickBot="1" x14ac:dyDescent="0.3">
      <c r="A8" s="677" t="s">
        <v>586</v>
      </c>
      <c r="B8" s="167" t="s">
        <v>583</v>
      </c>
      <c r="C8" s="167" t="s">
        <v>587</v>
      </c>
      <c r="D8" s="168">
        <v>45</v>
      </c>
      <c r="E8" s="168">
        <v>40</v>
      </c>
      <c r="F8" s="168">
        <v>38</v>
      </c>
      <c r="G8" s="168">
        <v>37</v>
      </c>
      <c r="H8" s="168">
        <v>57</v>
      </c>
      <c r="I8" s="168">
        <v>71</v>
      </c>
      <c r="J8" s="168">
        <v>65</v>
      </c>
      <c r="K8" s="168">
        <v>74</v>
      </c>
      <c r="O8" s="677" t="s">
        <v>586</v>
      </c>
      <c r="P8" s="167" t="s">
        <v>583</v>
      </c>
      <c r="Q8" s="167" t="s">
        <v>587</v>
      </c>
      <c r="R8" s="168">
        <v>2</v>
      </c>
      <c r="S8" s="168">
        <v>4</v>
      </c>
      <c r="T8" s="168">
        <v>2</v>
      </c>
      <c r="U8" s="168">
        <v>2</v>
      </c>
      <c r="V8" s="168">
        <v>3</v>
      </c>
      <c r="W8" s="168">
        <v>3</v>
      </c>
      <c r="X8" s="168">
        <v>5</v>
      </c>
      <c r="Y8" s="168">
        <v>7</v>
      </c>
    </row>
    <row r="9" spans="1:25" ht="15.75" thickBot="1" x14ac:dyDescent="0.3">
      <c r="A9" s="670"/>
      <c r="B9" s="165" t="s">
        <v>584</v>
      </c>
      <c r="C9" s="165" t="s">
        <v>587</v>
      </c>
      <c r="D9" s="166">
        <v>45</v>
      </c>
      <c r="E9" s="166">
        <v>76</v>
      </c>
      <c r="F9" s="166">
        <v>77</v>
      </c>
      <c r="G9" s="166">
        <v>109</v>
      </c>
      <c r="H9" s="166">
        <v>107</v>
      </c>
      <c r="I9" s="166">
        <v>115</v>
      </c>
      <c r="J9" s="166">
        <v>129</v>
      </c>
      <c r="K9" s="166">
        <v>147</v>
      </c>
      <c r="O9" s="670"/>
      <c r="P9" s="165" t="s">
        <v>584</v>
      </c>
      <c r="Q9" s="165" t="s">
        <v>587</v>
      </c>
      <c r="R9" s="166">
        <v>2</v>
      </c>
      <c r="S9" s="166">
        <v>5</v>
      </c>
      <c r="T9" s="166">
        <v>5</v>
      </c>
      <c r="U9" s="166">
        <v>12</v>
      </c>
      <c r="V9" s="166">
        <v>14</v>
      </c>
      <c r="W9" s="166">
        <v>15</v>
      </c>
      <c r="X9" s="166">
        <v>17</v>
      </c>
      <c r="Y9" s="166">
        <v>24</v>
      </c>
    </row>
    <row r="10" spans="1:25" ht="15.75" thickBot="1" x14ac:dyDescent="0.3">
      <c r="A10" s="671"/>
      <c r="B10" s="167" t="s">
        <v>585</v>
      </c>
      <c r="C10" s="167" t="s">
        <v>587</v>
      </c>
      <c r="D10" s="168">
        <v>45</v>
      </c>
      <c r="E10" s="168">
        <v>76</v>
      </c>
      <c r="F10" s="168">
        <v>133</v>
      </c>
      <c r="G10" s="168">
        <v>159</v>
      </c>
      <c r="H10" s="168">
        <v>165</v>
      </c>
      <c r="I10" s="168">
        <v>167</v>
      </c>
      <c r="J10" s="168">
        <v>185</v>
      </c>
      <c r="K10" s="168">
        <v>212</v>
      </c>
      <c r="O10" s="671"/>
      <c r="P10" s="167" t="s">
        <v>585</v>
      </c>
      <c r="Q10" s="167" t="s">
        <v>587</v>
      </c>
      <c r="R10" s="168">
        <v>2</v>
      </c>
      <c r="S10" s="168">
        <v>5</v>
      </c>
      <c r="T10" s="168">
        <v>21</v>
      </c>
      <c r="U10" s="168">
        <v>37</v>
      </c>
      <c r="V10" s="168">
        <v>49</v>
      </c>
      <c r="W10" s="168">
        <v>49</v>
      </c>
      <c r="X10" s="168">
        <v>44</v>
      </c>
      <c r="Y10" s="168">
        <v>26</v>
      </c>
    </row>
    <row r="11" spans="1:25" ht="15.75" thickBot="1" x14ac:dyDescent="0.3">
      <c r="A11" s="672" t="s">
        <v>588</v>
      </c>
      <c r="B11" s="165" t="s">
        <v>226</v>
      </c>
      <c r="C11" s="165" t="s">
        <v>16</v>
      </c>
      <c r="D11" s="169">
        <v>0.05</v>
      </c>
      <c r="E11" s="169">
        <v>0.05</v>
      </c>
      <c r="F11" s="169">
        <v>0.05</v>
      </c>
      <c r="G11" s="169">
        <v>0.05</v>
      </c>
      <c r="H11" s="169">
        <v>0.05</v>
      </c>
      <c r="I11" s="169">
        <v>0.05</v>
      </c>
      <c r="J11" s="169">
        <v>0.05</v>
      </c>
      <c r="K11" s="169">
        <v>0.05</v>
      </c>
      <c r="O11" s="672" t="s">
        <v>588</v>
      </c>
      <c r="P11" s="165" t="s">
        <v>226</v>
      </c>
      <c r="Q11" s="165" t="s">
        <v>16</v>
      </c>
      <c r="R11" s="169">
        <v>0.11</v>
      </c>
      <c r="S11" s="169">
        <v>0.11</v>
      </c>
      <c r="T11" s="169">
        <v>0.08</v>
      </c>
      <c r="U11" s="169">
        <v>0.05</v>
      </c>
      <c r="V11" s="169">
        <v>0.05</v>
      </c>
      <c r="W11" s="169">
        <v>0.05</v>
      </c>
      <c r="X11" s="169">
        <v>0.05</v>
      </c>
      <c r="Y11" s="169">
        <v>0.05</v>
      </c>
    </row>
    <row r="12" spans="1:25" ht="15.75" thickBot="1" x14ac:dyDescent="0.3">
      <c r="A12" s="673"/>
      <c r="B12" s="167" t="s">
        <v>589</v>
      </c>
      <c r="C12" s="167" t="s">
        <v>16</v>
      </c>
      <c r="D12" s="169">
        <v>0.1</v>
      </c>
      <c r="E12" s="169">
        <v>0.1</v>
      </c>
      <c r="F12" s="169">
        <v>0.1</v>
      </c>
      <c r="G12" s="169">
        <v>0.1</v>
      </c>
      <c r="H12" s="169">
        <v>0.1</v>
      </c>
      <c r="I12" s="169">
        <v>0.1</v>
      </c>
      <c r="J12" s="169">
        <v>0.1</v>
      </c>
      <c r="K12" s="169">
        <v>0.1</v>
      </c>
      <c r="O12" s="673"/>
      <c r="P12" s="167" t="s">
        <v>589</v>
      </c>
      <c r="Q12" s="167" t="s">
        <v>16</v>
      </c>
      <c r="R12" s="170">
        <v>0.2</v>
      </c>
      <c r="S12" s="170">
        <v>0.2</v>
      </c>
      <c r="T12" s="170">
        <v>0.15</v>
      </c>
      <c r="U12" s="170">
        <v>0.1</v>
      </c>
      <c r="V12" s="170">
        <v>0.1</v>
      </c>
      <c r="W12" s="170">
        <v>0.1</v>
      </c>
      <c r="X12" s="170">
        <v>0.1</v>
      </c>
      <c r="Y12" s="170">
        <v>0.1</v>
      </c>
    </row>
    <row r="13" spans="1:25" ht="15.75" thickBot="1" x14ac:dyDescent="0.3">
      <c r="A13" s="674"/>
      <c r="B13" s="165" t="s">
        <v>576</v>
      </c>
      <c r="C13" s="165" t="s">
        <v>16</v>
      </c>
      <c r="D13" s="169">
        <v>0.02</v>
      </c>
      <c r="E13" s="169">
        <v>0.02</v>
      </c>
      <c r="F13" s="169">
        <v>0.02</v>
      </c>
      <c r="G13" s="169">
        <v>0.02</v>
      </c>
      <c r="H13" s="169">
        <v>0.02</v>
      </c>
      <c r="I13" s="169">
        <v>0.02</v>
      </c>
      <c r="J13" s="169">
        <v>0.02</v>
      </c>
      <c r="K13" s="169">
        <v>0.02</v>
      </c>
      <c r="O13" s="674"/>
      <c r="P13" s="165" t="s">
        <v>576</v>
      </c>
      <c r="Q13" s="165" t="s">
        <v>16</v>
      </c>
      <c r="R13" s="169">
        <v>0.05</v>
      </c>
      <c r="S13" s="169">
        <v>0.05</v>
      </c>
      <c r="T13" s="169">
        <v>0.05</v>
      </c>
      <c r="U13" s="169">
        <v>0.02</v>
      </c>
      <c r="V13" s="169">
        <v>0.02</v>
      </c>
      <c r="W13" s="169">
        <v>0.02</v>
      </c>
      <c r="X13" s="169">
        <v>0.02</v>
      </c>
      <c r="Y13" s="169">
        <v>0.02</v>
      </c>
    </row>
    <row r="14" spans="1:25" ht="15.75" thickBot="1" x14ac:dyDescent="0.3">
      <c r="A14" s="171" t="s">
        <v>590</v>
      </c>
      <c r="B14" s="167" t="s">
        <v>14</v>
      </c>
      <c r="C14" s="167" t="s">
        <v>566</v>
      </c>
      <c r="D14" s="168">
        <v>25</v>
      </c>
      <c r="E14" s="168">
        <v>25</v>
      </c>
      <c r="F14" s="168">
        <v>25</v>
      </c>
      <c r="G14" s="168">
        <v>25</v>
      </c>
      <c r="H14" s="168">
        <v>25</v>
      </c>
      <c r="I14" s="168">
        <v>25</v>
      </c>
      <c r="J14" s="168">
        <v>25</v>
      </c>
      <c r="K14" s="168">
        <v>25</v>
      </c>
      <c r="O14" s="171" t="s">
        <v>590</v>
      </c>
      <c r="P14" s="167" t="s">
        <v>14</v>
      </c>
      <c r="Q14" s="167" t="s">
        <v>566</v>
      </c>
      <c r="R14" s="172">
        <v>30</v>
      </c>
      <c r="S14" s="172">
        <v>30</v>
      </c>
      <c r="T14" s="172">
        <v>30</v>
      </c>
      <c r="U14" s="172">
        <v>30</v>
      </c>
      <c r="V14" s="172">
        <v>30</v>
      </c>
      <c r="W14" s="172">
        <v>30</v>
      </c>
      <c r="X14" s="172">
        <v>30</v>
      </c>
      <c r="Y14" s="172">
        <v>30</v>
      </c>
    </row>
    <row r="17" spans="1:22" ht="15.75" thickBot="1" x14ac:dyDescent="0.3">
      <c r="A17" s="161" t="s">
        <v>591</v>
      </c>
      <c r="O17" s="161" t="s">
        <v>592</v>
      </c>
    </row>
    <row r="18" spans="1:22" ht="15.75" thickBot="1" x14ac:dyDescent="0.3">
      <c r="A18" s="667"/>
      <c r="B18" s="668"/>
      <c r="C18" s="162" t="s">
        <v>0</v>
      </c>
      <c r="D18" s="164">
        <v>2015</v>
      </c>
      <c r="E18" s="164">
        <v>2020</v>
      </c>
      <c r="F18" s="164">
        <v>2030</v>
      </c>
      <c r="G18" s="164">
        <v>2040</v>
      </c>
      <c r="H18" s="164">
        <v>2050</v>
      </c>
      <c r="O18" s="667"/>
      <c r="P18" s="668"/>
      <c r="Q18" s="162" t="s">
        <v>0</v>
      </c>
      <c r="R18" s="164">
        <v>2015</v>
      </c>
      <c r="S18" s="164">
        <v>2020</v>
      </c>
      <c r="T18" s="164">
        <v>2030</v>
      </c>
      <c r="U18" s="164">
        <v>2040</v>
      </c>
      <c r="V18" s="164">
        <v>2050</v>
      </c>
    </row>
    <row r="19" spans="1:22" ht="16.5" thickTop="1" thickBot="1" x14ac:dyDescent="0.3">
      <c r="A19" s="669" t="s">
        <v>593</v>
      </c>
      <c r="B19" s="165" t="s">
        <v>583</v>
      </c>
      <c r="C19" s="165" t="s">
        <v>594</v>
      </c>
      <c r="D19" s="664">
        <v>1850</v>
      </c>
      <c r="E19" s="173">
        <v>1800</v>
      </c>
      <c r="F19" s="173">
        <v>1730</v>
      </c>
      <c r="G19" s="173">
        <v>1670</v>
      </c>
      <c r="H19" s="173">
        <v>1630</v>
      </c>
      <c r="O19" s="669" t="s">
        <v>593</v>
      </c>
      <c r="P19" s="165" t="s">
        <v>583</v>
      </c>
      <c r="Q19" s="165" t="s">
        <v>594</v>
      </c>
      <c r="R19" s="664">
        <v>3500</v>
      </c>
      <c r="S19" s="173">
        <v>2990</v>
      </c>
      <c r="T19" s="173">
        <v>2850</v>
      </c>
      <c r="U19" s="173">
        <v>2750</v>
      </c>
      <c r="V19" s="173">
        <v>2640</v>
      </c>
    </row>
    <row r="20" spans="1:22" ht="15.75" thickBot="1" x14ac:dyDescent="0.3">
      <c r="A20" s="670"/>
      <c r="B20" s="167" t="s">
        <v>584</v>
      </c>
      <c r="C20" s="167" t="s">
        <v>594</v>
      </c>
      <c r="D20" s="665"/>
      <c r="E20" s="172">
        <v>1760</v>
      </c>
      <c r="F20" s="172">
        <v>1660</v>
      </c>
      <c r="G20" s="172">
        <v>1600</v>
      </c>
      <c r="H20" s="172">
        <v>1560</v>
      </c>
      <c r="O20" s="670"/>
      <c r="P20" s="167" t="s">
        <v>584</v>
      </c>
      <c r="Q20" s="167" t="s">
        <v>594</v>
      </c>
      <c r="R20" s="665"/>
      <c r="S20" s="172">
        <v>2870</v>
      </c>
      <c r="T20" s="172">
        <v>2570</v>
      </c>
      <c r="U20" s="172">
        <v>2430</v>
      </c>
      <c r="V20" s="172">
        <v>2330</v>
      </c>
    </row>
    <row r="21" spans="1:22" ht="15.75" thickBot="1" x14ac:dyDescent="0.3">
      <c r="A21" s="670"/>
      <c r="B21" s="165" t="s">
        <v>585</v>
      </c>
      <c r="C21" s="165" t="s">
        <v>594</v>
      </c>
      <c r="D21" s="665"/>
      <c r="E21" s="173">
        <v>1760</v>
      </c>
      <c r="F21" s="173">
        <v>1630</v>
      </c>
      <c r="G21" s="173">
        <v>1560</v>
      </c>
      <c r="H21" s="173">
        <v>1520</v>
      </c>
      <c r="O21" s="670"/>
      <c r="P21" s="165" t="s">
        <v>585</v>
      </c>
      <c r="Q21" s="165" t="s">
        <v>594</v>
      </c>
      <c r="R21" s="665"/>
      <c r="S21" s="173">
        <v>2890</v>
      </c>
      <c r="T21" s="173">
        <v>2310</v>
      </c>
      <c r="U21" s="173">
        <v>2150</v>
      </c>
      <c r="V21" s="173">
        <v>2100</v>
      </c>
    </row>
    <row r="22" spans="1:22" ht="15.75" thickBot="1" x14ac:dyDescent="0.3">
      <c r="A22" s="670"/>
      <c r="B22" s="167" t="s">
        <v>434</v>
      </c>
      <c r="C22" s="167" t="s">
        <v>594</v>
      </c>
      <c r="D22" s="665"/>
      <c r="E22" s="172">
        <v>1670</v>
      </c>
      <c r="F22" s="172">
        <v>1430</v>
      </c>
      <c r="G22" s="172">
        <v>1310</v>
      </c>
      <c r="H22" s="172">
        <v>1230</v>
      </c>
      <c r="O22" s="670"/>
      <c r="P22" s="167" t="s">
        <v>434</v>
      </c>
      <c r="Q22" s="167" t="s">
        <v>594</v>
      </c>
      <c r="R22" s="665"/>
      <c r="S22" s="172">
        <v>2390</v>
      </c>
      <c r="T22" s="172">
        <v>1550</v>
      </c>
      <c r="U22" s="172">
        <v>1350</v>
      </c>
      <c r="V22" s="172">
        <v>1280</v>
      </c>
    </row>
    <row r="23" spans="1:22" ht="15.75" thickBot="1" x14ac:dyDescent="0.3">
      <c r="A23" s="671"/>
      <c r="B23" s="165" t="s">
        <v>435</v>
      </c>
      <c r="C23" s="165" t="s">
        <v>594</v>
      </c>
      <c r="D23" s="666"/>
      <c r="E23" s="173">
        <v>1830</v>
      </c>
      <c r="F23" s="173">
        <v>1800</v>
      </c>
      <c r="G23" s="173">
        <v>1780</v>
      </c>
      <c r="H23" s="173">
        <v>1760</v>
      </c>
      <c r="O23" s="671"/>
      <c r="P23" s="165" t="s">
        <v>435</v>
      </c>
      <c r="Q23" s="165" t="s">
        <v>594</v>
      </c>
      <c r="R23" s="666"/>
      <c r="S23" s="173">
        <v>3260</v>
      </c>
      <c r="T23" s="173">
        <v>3180</v>
      </c>
      <c r="U23" s="173">
        <v>3140</v>
      </c>
      <c r="V23" s="173">
        <v>3090</v>
      </c>
    </row>
    <row r="24" spans="1:22" ht="15.75" thickBot="1" x14ac:dyDescent="0.3">
      <c r="A24" s="171" t="s">
        <v>595</v>
      </c>
      <c r="B24" s="167" t="s">
        <v>14</v>
      </c>
      <c r="C24" s="167" t="s">
        <v>596</v>
      </c>
      <c r="D24" s="170">
        <v>0.03</v>
      </c>
      <c r="E24" s="170">
        <v>0.03</v>
      </c>
      <c r="F24" s="170">
        <v>0.03</v>
      </c>
      <c r="G24" s="170">
        <v>0.03</v>
      </c>
      <c r="H24" s="170">
        <v>0.03</v>
      </c>
      <c r="O24" s="171" t="s">
        <v>595</v>
      </c>
      <c r="P24" s="167" t="s">
        <v>14</v>
      </c>
      <c r="Q24" s="167" t="s">
        <v>596</v>
      </c>
      <c r="R24" s="170">
        <v>0.02</v>
      </c>
      <c r="S24" s="170">
        <v>0.02</v>
      </c>
      <c r="T24" s="170">
        <v>0.02</v>
      </c>
      <c r="U24" s="170">
        <v>0.02</v>
      </c>
      <c r="V24" s="170">
        <v>0.02</v>
      </c>
    </row>
    <row r="27" spans="1:22" ht="15.75" thickBot="1" x14ac:dyDescent="0.3">
      <c r="A27" s="161" t="s">
        <v>597</v>
      </c>
      <c r="O27" s="161" t="s">
        <v>598</v>
      </c>
    </row>
    <row r="28" spans="1:22" ht="15.75" thickBot="1" x14ac:dyDescent="0.3">
      <c r="A28" s="667"/>
      <c r="B28" s="668"/>
      <c r="C28" s="162" t="s">
        <v>0</v>
      </c>
      <c r="D28" s="164">
        <v>2015</v>
      </c>
      <c r="E28" s="164">
        <v>2020</v>
      </c>
      <c r="F28" s="164">
        <v>2030</v>
      </c>
      <c r="G28" s="164">
        <v>2040</v>
      </c>
      <c r="H28" s="164">
        <v>2050</v>
      </c>
      <c r="O28" s="667"/>
      <c r="P28" s="668"/>
      <c r="Q28" s="162" t="s">
        <v>0</v>
      </c>
      <c r="R28" s="164">
        <v>2015</v>
      </c>
      <c r="S28" s="164">
        <v>2020</v>
      </c>
      <c r="T28" s="164">
        <v>2030</v>
      </c>
      <c r="U28" s="164">
        <v>2040</v>
      </c>
      <c r="V28" s="164">
        <v>2050</v>
      </c>
    </row>
    <row r="29" spans="1:22" ht="16.5" thickTop="1" thickBot="1" x14ac:dyDescent="0.3">
      <c r="A29" s="669" t="s">
        <v>593</v>
      </c>
      <c r="B29" s="165" t="s">
        <v>583</v>
      </c>
      <c r="C29" s="165" t="s">
        <v>594</v>
      </c>
      <c r="D29" s="664">
        <v>1350</v>
      </c>
      <c r="E29" s="173">
        <v>1310</v>
      </c>
      <c r="F29" s="173">
        <v>1260</v>
      </c>
      <c r="G29" s="173">
        <v>1220</v>
      </c>
      <c r="H29" s="173">
        <v>1190</v>
      </c>
      <c r="O29" s="669" t="s">
        <v>593</v>
      </c>
      <c r="P29" s="165" t="s">
        <v>583</v>
      </c>
      <c r="Q29" s="165" t="s">
        <v>594</v>
      </c>
      <c r="R29" s="664">
        <v>3600</v>
      </c>
      <c r="S29" s="173">
        <v>3070</v>
      </c>
      <c r="T29" s="173">
        <v>2940</v>
      </c>
      <c r="U29" s="173">
        <v>2830</v>
      </c>
      <c r="V29" s="173">
        <v>2710</v>
      </c>
    </row>
    <row r="30" spans="1:22" ht="15.75" thickBot="1" x14ac:dyDescent="0.3">
      <c r="A30" s="670"/>
      <c r="B30" s="167" t="s">
        <v>584</v>
      </c>
      <c r="C30" s="167" t="s">
        <v>594</v>
      </c>
      <c r="D30" s="665"/>
      <c r="E30" s="172">
        <v>1290</v>
      </c>
      <c r="F30" s="172">
        <v>1210</v>
      </c>
      <c r="G30" s="172">
        <v>1170</v>
      </c>
      <c r="H30" s="172">
        <v>1130</v>
      </c>
      <c r="O30" s="670"/>
      <c r="P30" s="167" t="s">
        <v>584</v>
      </c>
      <c r="Q30" s="167" t="s">
        <v>594</v>
      </c>
      <c r="R30" s="665"/>
      <c r="S30" s="172">
        <v>2950</v>
      </c>
      <c r="T30" s="172">
        <v>2650</v>
      </c>
      <c r="U30" s="172">
        <v>2490</v>
      </c>
      <c r="V30" s="172">
        <v>2390</v>
      </c>
    </row>
    <row r="31" spans="1:22" ht="15.75" thickBot="1" x14ac:dyDescent="0.3">
      <c r="A31" s="670"/>
      <c r="B31" s="165" t="s">
        <v>585</v>
      </c>
      <c r="C31" s="165" t="s">
        <v>594</v>
      </c>
      <c r="D31" s="665"/>
      <c r="E31" s="173">
        <v>1290</v>
      </c>
      <c r="F31" s="173">
        <v>1190</v>
      </c>
      <c r="G31" s="173">
        <v>1140</v>
      </c>
      <c r="H31" s="173">
        <v>1110</v>
      </c>
      <c r="O31" s="670"/>
      <c r="P31" s="165" t="s">
        <v>585</v>
      </c>
      <c r="Q31" s="165" t="s">
        <v>594</v>
      </c>
      <c r="R31" s="665"/>
      <c r="S31" s="173">
        <v>2970</v>
      </c>
      <c r="T31" s="173">
        <v>2370</v>
      </c>
      <c r="U31" s="173">
        <v>2220</v>
      </c>
      <c r="V31" s="173">
        <v>2160</v>
      </c>
    </row>
    <row r="32" spans="1:22" ht="15.75" thickBot="1" x14ac:dyDescent="0.3">
      <c r="A32" s="670"/>
      <c r="B32" s="167" t="s">
        <v>434</v>
      </c>
      <c r="C32" s="167" t="s">
        <v>594</v>
      </c>
      <c r="D32" s="665"/>
      <c r="E32" s="172">
        <v>1220</v>
      </c>
      <c r="F32" s="172">
        <v>1040</v>
      </c>
      <c r="G32" s="172">
        <v>960</v>
      </c>
      <c r="H32" s="172">
        <v>900</v>
      </c>
      <c r="O32" s="670"/>
      <c r="P32" s="167" t="s">
        <v>434</v>
      </c>
      <c r="Q32" s="167" t="s">
        <v>594</v>
      </c>
      <c r="R32" s="665"/>
      <c r="S32" s="172">
        <v>2460</v>
      </c>
      <c r="T32" s="172">
        <v>1600</v>
      </c>
      <c r="U32" s="172">
        <v>1390</v>
      </c>
      <c r="V32" s="172">
        <v>1320</v>
      </c>
    </row>
    <row r="33" spans="1:22" ht="15.75" thickBot="1" x14ac:dyDescent="0.3">
      <c r="A33" s="671"/>
      <c r="B33" s="165" t="s">
        <v>435</v>
      </c>
      <c r="C33" s="165" t="s">
        <v>594</v>
      </c>
      <c r="D33" s="666"/>
      <c r="E33" s="173">
        <v>1330</v>
      </c>
      <c r="F33" s="173">
        <v>1320</v>
      </c>
      <c r="G33" s="173">
        <v>1300</v>
      </c>
      <c r="H33" s="173">
        <v>1280</v>
      </c>
      <c r="O33" s="671"/>
      <c r="P33" s="165" t="s">
        <v>435</v>
      </c>
      <c r="Q33" s="165" t="s">
        <v>594</v>
      </c>
      <c r="R33" s="666"/>
      <c r="S33" s="173">
        <v>3360</v>
      </c>
      <c r="T33" s="173">
        <v>3280</v>
      </c>
      <c r="U33" s="173">
        <v>3230</v>
      </c>
      <c r="V33" s="173">
        <v>3170</v>
      </c>
    </row>
    <row r="34" spans="1:22" ht="15.75" thickBot="1" x14ac:dyDescent="0.3">
      <c r="A34" s="171" t="s">
        <v>595</v>
      </c>
      <c r="B34" s="167" t="s">
        <v>14</v>
      </c>
      <c r="C34" s="167" t="s">
        <v>596</v>
      </c>
      <c r="D34" s="170">
        <v>0.03</v>
      </c>
      <c r="E34" s="170">
        <v>0.03</v>
      </c>
      <c r="F34" s="170">
        <v>0.03</v>
      </c>
      <c r="G34" s="170">
        <v>0.03</v>
      </c>
      <c r="H34" s="170">
        <v>0.03</v>
      </c>
      <c r="O34" s="171" t="s">
        <v>595</v>
      </c>
      <c r="P34" s="167" t="s">
        <v>14</v>
      </c>
      <c r="Q34" s="167" t="s">
        <v>596</v>
      </c>
      <c r="R34" s="170">
        <v>0.02</v>
      </c>
      <c r="S34" s="170">
        <v>0.02</v>
      </c>
      <c r="T34" s="170">
        <v>0.02</v>
      </c>
      <c r="U34" s="170">
        <v>0.02</v>
      </c>
      <c r="V34" s="170">
        <v>0.02</v>
      </c>
    </row>
    <row r="37" spans="1:22" ht="15.75" thickBot="1" x14ac:dyDescent="0.3">
      <c r="A37" s="161" t="s">
        <v>599</v>
      </c>
      <c r="O37" s="161" t="s">
        <v>600</v>
      </c>
    </row>
    <row r="38" spans="1:22" ht="15.75" thickBot="1" x14ac:dyDescent="0.3">
      <c r="A38" s="667"/>
      <c r="B38" s="668"/>
      <c r="C38" s="162" t="s">
        <v>0</v>
      </c>
      <c r="D38" s="164">
        <v>2015</v>
      </c>
      <c r="E38" s="164">
        <v>2020</v>
      </c>
      <c r="F38" s="164">
        <v>2030</v>
      </c>
      <c r="G38" s="164">
        <v>2040</v>
      </c>
      <c r="H38" s="164">
        <v>2050</v>
      </c>
      <c r="O38" s="667"/>
      <c r="P38" s="668"/>
      <c r="Q38" s="162" t="s">
        <v>0</v>
      </c>
      <c r="R38" s="164">
        <v>2015</v>
      </c>
      <c r="S38" s="164">
        <v>2020</v>
      </c>
      <c r="T38" s="164">
        <v>2030</v>
      </c>
      <c r="U38" s="164">
        <v>2040</v>
      </c>
      <c r="V38" s="164">
        <v>2050</v>
      </c>
    </row>
    <row r="39" spans="1:22" ht="16.5" thickTop="1" thickBot="1" x14ac:dyDescent="0.3">
      <c r="A39" s="669" t="s">
        <v>593</v>
      </c>
      <c r="B39" s="165" t="s">
        <v>583</v>
      </c>
      <c r="C39" s="165" t="s">
        <v>594</v>
      </c>
      <c r="D39" s="664">
        <v>1090</v>
      </c>
      <c r="E39" s="173">
        <v>1060</v>
      </c>
      <c r="F39" s="173">
        <v>1020</v>
      </c>
      <c r="G39" s="173">
        <v>980</v>
      </c>
      <c r="H39" s="173">
        <v>960</v>
      </c>
      <c r="O39" s="669" t="s">
        <v>593</v>
      </c>
      <c r="P39" s="165" t="s">
        <v>583</v>
      </c>
      <c r="Q39" s="165" t="s">
        <v>594</v>
      </c>
      <c r="R39" s="664">
        <v>5500</v>
      </c>
      <c r="S39" s="173">
        <v>4690</v>
      </c>
      <c r="T39" s="173">
        <v>4490</v>
      </c>
      <c r="U39" s="173">
        <v>4330</v>
      </c>
      <c r="V39" s="173">
        <v>4140</v>
      </c>
    </row>
    <row r="40" spans="1:22" ht="15.75" thickBot="1" x14ac:dyDescent="0.3">
      <c r="A40" s="670"/>
      <c r="B40" s="167" t="s">
        <v>584</v>
      </c>
      <c r="C40" s="167" t="s">
        <v>594</v>
      </c>
      <c r="D40" s="665"/>
      <c r="E40" s="172">
        <v>1040</v>
      </c>
      <c r="F40" s="172">
        <v>980</v>
      </c>
      <c r="G40" s="172">
        <v>940</v>
      </c>
      <c r="H40" s="172">
        <v>920</v>
      </c>
      <c r="O40" s="670"/>
      <c r="P40" s="167" t="s">
        <v>584</v>
      </c>
      <c r="Q40" s="167" t="s">
        <v>594</v>
      </c>
      <c r="R40" s="665"/>
      <c r="S40" s="172">
        <v>4510</v>
      </c>
      <c r="T40" s="172">
        <v>4040</v>
      </c>
      <c r="U40" s="172">
        <v>3810</v>
      </c>
      <c r="V40" s="172">
        <v>3660</v>
      </c>
    </row>
    <row r="41" spans="1:22" ht="15.75" thickBot="1" x14ac:dyDescent="0.3">
      <c r="A41" s="670"/>
      <c r="B41" s="165" t="s">
        <v>585</v>
      </c>
      <c r="C41" s="165" t="s">
        <v>594</v>
      </c>
      <c r="D41" s="665"/>
      <c r="E41" s="173">
        <v>1040</v>
      </c>
      <c r="F41" s="173">
        <v>960</v>
      </c>
      <c r="G41" s="173">
        <v>920</v>
      </c>
      <c r="H41" s="173">
        <v>890</v>
      </c>
      <c r="O41" s="670"/>
      <c r="P41" s="165" t="s">
        <v>585</v>
      </c>
      <c r="Q41" s="165" t="s">
        <v>594</v>
      </c>
      <c r="R41" s="665"/>
      <c r="S41" s="173">
        <v>4540</v>
      </c>
      <c r="T41" s="173">
        <v>3620</v>
      </c>
      <c r="U41" s="173">
        <v>3390</v>
      </c>
      <c r="V41" s="173">
        <v>3300</v>
      </c>
    </row>
    <row r="42" spans="1:22" ht="15.75" thickBot="1" x14ac:dyDescent="0.3">
      <c r="A42" s="670"/>
      <c r="B42" s="167" t="s">
        <v>434</v>
      </c>
      <c r="C42" s="167" t="s">
        <v>594</v>
      </c>
      <c r="D42" s="665"/>
      <c r="E42" s="172">
        <v>990</v>
      </c>
      <c r="F42" s="172">
        <v>840</v>
      </c>
      <c r="G42" s="172">
        <v>770</v>
      </c>
      <c r="H42" s="172">
        <v>730</v>
      </c>
      <c r="O42" s="670"/>
      <c r="P42" s="167" t="s">
        <v>434</v>
      </c>
      <c r="Q42" s="167" t="s">
        <v>594</v>
      </c>
      <c r="R42" s="665"/>
      <c r="S42" s="172">
        <v>3760</v>
      </c>
      <c r="T42" s="172">
        <v>2440</v>
      </c>
      <c r="U42" s="172">
        <v>2120</v>
      </c>
      <c r="V42" s="172">
        <v>2010</v>
      </c>
    </row>
    <row r="43" spans="1:22" ht="15.75" thickBot="1" x14ac:dyDescent="0.3">
      <c r="A43" s="671"/>
      <c r="B43" s="165" t="s">
        <v>435</v>
      </c>
      <c r="C43" s="165" t="s">
        <v>594</v>
      </c>
      <c r="D43" s="666"/>
      <c r="E43" s="173">
        <v>1080</v>
      </c>
      <c r="F43" s="173">
        <v>1060</v>
      </c>
      <c r="G43" s="173">
        <v>1050</v>
      </c>
      <c r="H43" s="173">
        <v>1040</v>
      </c>
      <c r="O43" s="671"/>
      <c r="P43" s="165" t="s">
        <v>435</v>
      </c>
      <c r="Q43" s="165" t="s">
        <v>594</v>
      </c>
      <c r="R43" s="666"/>
      <c r="S43" s="173">
        <v>5130</v>
      </c>
      <c r="T43" s="173">
        <v>5000</v>
      </c>
      <c r="U43" s="173">
        <v>4930</v>
      </c>
      <c r="V43" s="173">
        <v>4850</v>
      </c>
    </row>
    <row r="44" spans="1:22" ht="15.75" thickBot="1" x14ac:dyDescent="0.3">
      <c r="A44" s="171" t="s">
        <v>595</v>
      </c>
      <c r="B44" s="167" t="s">
        <v>14</v>
      </c>
      <c r="C44" s="167" t="s">
        <v>596</v>
      </c>
      <c r="D44" s="170">
        <v>0.03</v>
      </c>
      <c r="E44" s="170">
        <v>0.03</v>
      </c>
      <c r="F44" s="170">
        <v>0.03</v>
      </c>
      <c r="G44" s="170">
        <v>0.03</v>
      </c>
      <c r="H44" s="170">
        <v>0.03</v>
      </c>
      <c r="O44" s="171" t="s">
        <v>595</v>
      </c>
      <c r="P44" s="167" t="s">
        <v>14</v>
      </c>
      <c r="Q44" s="167" t="s">
        <v>596</v>
      </c>
      <c r="R44" s="170">
        <v>0.02</v>
      </c>
      <c r="S44" s="170">
        <v>0.02</v>
      </c>
      <c r="T44" s="170">
        <v>0.02</v>
      </c>
      <c r="U44" s="170">
        <v>0.02</v>
      </c>
      <c r="V44" s="170">
        <v>0.02</v>
      </c>
    </row>
  </sheetData>
  <mergeCells count="26">
    <mergeCell ref="A4:B4"/>
    <mergeCell ref="O4:P4"/>
    <mergeCell ref="A5:A7"/>
    <mergeCell ref="O5:O7"/>
    <mergeCell ref="A8:A10"/>
    <mergeCell ref="O8:O10"/>
    <mergeCell ref="A11:A13"/>
    <mergeCell ref="O11:O13"/>
    <mergeCell ref="A18:B18"/>
    <mergeCell ref="O18:P18"/>
    <mergeCell ref="A19:A23"/>
    <mergeCell ref="D19:D23"/>
    <mergeCell ref="O19:O23"/>
    <mergeCell ref="R39:R43"/>
    <mergeCell ref="R19:R23"/>
    <mergeCell ref="A28:B28"/>
    <mergeCell ref="O28:P28"/>
    <mergeCell ref="A29:A33"/>
    <mergeCell ref="D29:D33"/>
    <mergeCell ref="O29:O33"/>
    <mergeCell ref="R29:R33"/>
    <mergeCell ref="A38:B38"/>
    <mergeCell ref="O38:P38"/>
    <mergeCell ref="A39:A43"/>
    <mergeCell ref="D39:D43"/>
    <mergeCell ref="O39:O4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287C0-199C-4F86-ADF6-41726CA069BE}">
  <dimension ref="A1:A3"/>
  <sheetViews>
    <sheetView zoomScale="80" zoomScaleNormal="80" workbookViewId="0">
      <selection activeCell="D9" sqref="F9"/>
    </sheetView>
  </sheetViews>
  <sheetFormatPr defaultRowHeight="15.75" x14ac:dyDescent="0.25"/>
  <sheetData>
    <row r="1" spans="1:1" ht="21" x14ac:dyDescent="0.35">
      <c r="A1" s="3" t="s">
        <v>601</v>
      </c>
    </row>
    <row r="2" spans="1:1" x14ac:dyDescent="0.25">
      <c r="A2" s="125" t="s">
        <v>602</v>
      </c>
    </row>
    <row r="3" spans="1:1" x14ac:dyDescent="0.25">
      <c r="A3" s="124" t="s">
        <v>603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Team Document" ma:contentTypeID="0x010100A35317DCC28344A7B82488658A034A5C0100930A1513B42B0E4BA633819D1BDE4F35" ma:contentTypeVersion="13" ma:contentTypeDescription=" " ma:contentTypeScope="" ma:versionID="35139241cd4f05d57b4d02c08f33da92">
  <xsd:schema xmlns:xsd="http://www.w3.org/2001/XMLSchema" xmlns:xs="http://www.w3.org/2001/XMLSchema" xmlns:p="http://schemas.microsoft.com/office/2006/metadata/properties" xmlns:ns2="611ea500-83e9-4ef4-bf2f-c0233a31331f" xmlns:ns3="2f6a910d-138e-42c1-8e8a-320c1b7cf3f7" xmlns:ns5="cf22d98f-2e61-47ad-a8ad-1f63cee94d1b" targetNamespace="http://schemas.microsoft.com/office/2006/metadata/properties" ma:root="true" ma:fieldsID="76f799b448fd82abcbd4d0ba1242c0c2" ns2:_="" ns3:_="" ns5:_="">
    <xsd:import namespace="611ea500-83e9-4ef4-bf2f-c0233a31331f"/>
    <xsd:import namespace="2f6a910d-138e-42c1-8e8a-320c1b7cf3f7"/>
    <xsd:import namespace="cf22d98f-2e61-47ad-a8ad-1f63cee94d1b"/>
    <xsd:element name="properties">
      <xsd:complexType>
        <xsd:sequence>
          <xsd:element name="documentManagement">
            <xsd:complexType>
              <xsd:all>
                <xsd:element ref="ns2:_dlc_DocId" minOccurs="0"/>
                <xsd:element ref="ns2:_dlc_DocIdUrl" minOccurs="0"/>
                <xsd:element ref="ns2:_dlc_DocIdPersistId" minOccurs="0"/>
                <xsd:element ref="ns3:TNOC_ClusterName" minOccurs="0"/>
                <xsd:element ref="ns3:TNOC_ClusterId" minOccurs="0"/>
                <xsd:element ref="ns2:h15fbb78f4cb41d290e72f301ea2865f" minOccurs="0"/>
                <xsd:element ref="ns2:TaxCatchAll" minOccurs="0"/>
                <xsd:element ref="ns2:TaxCatchAllLabel" minOccurs="0"/>
                <xsd:element ref="ns2:n2a7a23bcc2241cb9261f9a914c7c1bb" minOccurs="0"/>
                <xsd:element ref="ns2:lca20d149a844688b6abf34073d5c21d" minOccurs="0"/>
                <xsd:element ref="ns2:cf581d8792c646118aad2c2c4ecdfa8c" minOccurs="0"/>
                <xsd:element ref="ns2:bac4ab11065f4f6c809c820c57e320e5" minOccurs="0"/>
                <xsd:element ref="ns5:MediaServiceMetadata" minOccurs="0"/>
                <xsd:element ref="ns5:MediaServiceFastMetadata" minOccurs="0"/>
                <xsd:element ref="ns5:MediaServiceDateTaken" minOccurs="0"/>
                <xsd:element ref="ns5:MediaServiceAutoTags" minOccurs="0"/>
                <xsd:element ref="ns5:MediaServiceOCR" minOccurs="0"/>
                <xsd:element ref="ns2:SharedWithUsers" minOccurs="0"/>
                <xsd:element ref="ns2:SharedWithDetails" minOccurs="0"/>
                <xsd:element ref="ns5:MediaServiceGenerationTime" minOccurs="0"/>
                <xsd:element ref="ns5:MediaServiceEventHashCode" minOccurs="0"/>
                <xsd:element ref="ns5:MediaServiceAutoKeyPoints" minOccurs="0"/>
                <xsd:element ref="ns5:MediaServiceKeyPoints"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ea500-83e9-4ef4-bf2f-c0233a31331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15fbb78f4cb41d290e72f301ea2865f" ma:index="13" nillable="true" ma:taxonomy="true" ma:internalName="h15fbb78f4cb41d290e72f301ea2865f" ma:taxonomyFieldName="TNOC_ClusterType" ma:displayName="Cluster type" ma:default="1;#Project|fa11c4c9-105f-402c-bb40-9a56b4989397" ma:fieldId="{115fbb78-f4cb-41d2-90e7-2f301ea2865f}" ma:sspId="7378aa68-586f-4892-bb77-0985b40f41a6" ma:termSetId="e7feef8e-5ede-44cd-b7d5-7ed7dacef0b4"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74c981b9-958d-4dec-967d-0b3a4b128dac}" ma:internalName="TaxCatchAll" ma:showField="CatchAllData"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74c981b9-958d-4dec-967d-0b3a4b128dac}" ma:internalName="TaxCatchAllLabel" ma:readOnly="true" ma:showField="CatchAllDataLabel" ma:web="611ea500-83e9-4ef4-bf2f-c0233a31331f">
      <xsd:complexType>
        <xsd:complexContent>
          <xsd:extension base="dms:MultiChoiceLookup">
            <xsd:sequence>
              <xsd:element name="Value" type="dms:Lookup" maxOccurs="unbounded" minOccurs="0" nillable="true"/>
            </xsd:sequence>
          </xsd:extension>
        </xsd:complexContent>
      </xsd:complexType>
    </xsd:element>
    <xsd:element name="n2a7a23bcc2241cb9261f9a914c7c1bb" ma:index="17" nillable="true" ma:taxonomy="true" ma:internalName="n2a7a23bcc2241cb9261f9a914c7c1bb" ma:taxonomyFieldName="TNOC_DocumentClassification" ma:displayName="Document classification" ma:default="5;#TNO Internal|1a23c89f-ef54-4907-86fd-8242403ff722" ma:fieldId="{72a7a23b-cc22-41cb-9261-f9a914c7c1bb}" ma:sspId="7378aa68-586f-4892-bb77-0985b40f41a6" ma:termSetId="ff8f31fd-7572-41dc-9fe4-bd4c6d280f39" ma:anchorId="00000000-0000-0000-0000-000000000000" ma:open="false" ma:isKeyword="false">
      <xsd:complexType>
        <xsd:sequence>
          <xsd:element ref="pc:Terms" minOccurs="0" maxOccurs="1"/>
        </xsd:sequence>
      </xsd:complexType>
    </xsd:element>
    <xsd:element name="lca20d149a844688b6abf34073d5c21d" ma:index="19" nillable="true" ma:taxonomy="true" ma:internalName="lca20d149a844688b6abf34073d5c21d" ma:taxonomyFieldName="TNOC_DocumentType" ma:displayName="Document type" ma:fieldId="{5ca20d14-9a84-4688-b6ab-f34073d5c21d}" ma:sspId="7378aa68-586f-4892-bb77-0985b40f41a6" ma:termSetId="e8a13a9e-c4f3-4184-b8d9-8210abad4948" ma:anchorId="00000000-0000-0000-0000-000000000000" ma:open="false" ma:isKeyword="false">
      <xsd:complexType>
        <xsd:sequence>
          <xsd:element ref="pc:Terms" minOccurs="0" maxOccurs="1"/>
        </xsd:sequence>
      </xsd:complexType>
    </xsd:element>
    <xsd:element name="cf581d8792c646118aad2c2c4ecdfa8c" ma:index="22" nillable="true" ma:taxonomy="true" ma:internalName="cf581d8792c646118aad2c2c4ecdfa8c" ma:taxonomyFieldName="TNOC_DocumentSetType" ma:displayName="Document set type" ma:readOnly="false" ma:fieldId="{cf581d87-92c6-4611-8aad-2c2c4ecdfa8c}" ma:sspId="7378aa68-586f-4892-bb77-0985b40f41a6" ma:termSetId="a8d4306b-62bf-468f-9587-ff078c864327" ma:anchorId="00000000-0000-0000-0000-000000000000" ma:open="false" ma:isKeyword="false">
      <xsd:complexType>
        <xsd:sequence>
          <xsd:element ref="pc:Terms" minOccurs="0" maxOccurs="1"/>
        </xsd:sequence>
      </xsd:complexType>
    </xsd:element>
    <xsd:element name="bac4ab11065f4f6c809c820c57e320e5" ma:index="24" nillable="true" ma:taxonomy="true" ma:internalName="bac4ab11065f4f6c809c820c57e320e5" ma:taxonomyFieldName="TNOC_DocumentCategory" ma:displayName="Document category" ma:fieldId="{bac4ab11-065f-4f6c-809c-820c57e320e5}" ma:sspId="7378aa68-586f-4892-bb77-0985b40f41a6" ma:termSetId="94d42b6a-4155-4fa6-95e9-087bc306ceb3" ma:anchorId="00000000-0000-0000-0000-000000000000" ma:open="false" ma:isKeyword="false">
      <xsd:complexType>
        <xsd:sequence>
          <xsd:element ref="pc:Terms" minOccurs="0" maxOccurs="1"/>
        </xsd:sequence>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6a910d-138e-42c1-8e8a-320c1b7cf3f7" elementFormDefault="qualified">
    <xsd:import namespace="http://schemas.microsoft.com/office/2006/documentManagement/types"/>
    <xsd:import namespace="http://schemas.microsoft.com/office/infopath/2007/PartnerControls"/>
    <xsd:element name="TNOC_ClusterName" ma:index="11" nillable="true" ma:displayName="Cluster name" ma:default="5.5311 - Factsheets technologie-n" ma:internalName="TNOC_ClusterName">
      <xsd:simpleType>
        <xsd:restriction base="dms:Text">
          <xsd:maxLength value="255"/>
        </xsd:restriction>
      </xsd:simpleType>
    </xsd:element>
    <xsd:element name="TNOC_ClusterId" ma:index="12" nillable="true" ma:displayName="Cluster ID" ma:default="060.33948" ma:internalName="TNOC_Clust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22d98f-2e61-47ad-a8ad-1f63cee94d1b"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MediaServiceAutoTags" ma:internalName="MediaServiceAutoTags" ma:readOnly="true">
      <xsd:simpleType>
        <xsd:restriction base="dms:Text"/>
      </xsd:simpleType>
    </xsd:element>
    <xsd:element name="MediaServiceOCR" ma:index="30" nillable="true" ma:displayName="MediaServiceOCR"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AutoKeyPoints" ma:index="35" nillable="true" ma:displayName="MediaServiceAutoKeyPoints" ma:hidden="true" ma:internalName="MediaServiceAutoKeyPoints" ma:readOnly="true">
      <xsd:simpleType>
        <xsd:restriction base="dms:Note"/>
      </xsd:simpleType>
    </xsd:element>
    <xsd:element name="MediaServiceKeyPoints" ma:index="36" nillable="true" ma:displayName="KeyPoints" ma:internalName="MediaServiceKeyPoints" ma:readOnly="true">
      <xsd:simpleType>
        <xsd:restriction base="dms:Note">
          <xsd:maxLength value="255"/>
        </xsd:restriction>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NOC_ClusterName xmlns="2f6a910d-138e-42c1-8e8a-320c1b7cf3f7">5.5311 - Factsheets technologie-n</TNOC_ClusterName>
    <TNOC_ClusterId xmlns="2f6a910d-138e-42c1-8e8a-320c1b7cf3f7">060.33948</TNOC_ClusterId>
    <bac4ab11065f4f6c809c820c57e320e5 xmlns="611ea500-83e9-4ef4-bf2f-c0233a31331f">
      <Terms xmlns="http://schemas.microsoft.com/office/infopath/2007/PartnerControls"/>
    </bac4ab11065f4f6c809c820c57e320e5>
    <h15fbb78f4cb41d290e72f301ea2865f xmlns="611ea500-83e9-4ef4-bf2f-c0233a31331f">
      <Terms xmlns="http://schemas.microsoft.com/office/infopath/2007/PartnerControls">
        <TermInfo xmlns="http://schemas.microsoft.com/office/infopath/2007/PartnerControls">
          <TermName xmlns="http://schemas.microsoft.com/office/infopath/2007/PartnerControls">Project</TermName>
          <TermId xmlns="http://schemas.microsoft.com/office/infopath/2007/PartnerControls">fa11c4c9-105f-402c-bb40-9a56b4989397</TermId>
        </TermInfo>
      </Terms>
    </h15fbb78f4cb41d290e72f301ea2865f>
    <cf581d8792c646118aad2c2c4ecdfa8c xmlns="611ea500-83e9-4ef4-bf2f-c0233a31331f">
      <Terms xmlns="http://schemas.microsoft.com/office/infopath/2007/PartnerControls"/>
    </cf581d8792c646118aad2c2c4ecdfa8c>
    <n2a7a23bcc2241cb9261f9a914c7c1bb xmlns="611ea500-83e9-4ef4-bf2f-c0233a31331f">
      <Terms xmlns="http://schemas.microsoft.com/office/infopath/2007/PartnerControls">
        <TermInfo xmlns="http://schemas.microsoft.com/office/infopath/2007/PartnerControls">
          <TermName xmlns="http://schemas.microsoft.com/office/infopath/2007/PartnerControls">TNO Internal</TermName>
          <TermId xmlns="http://schemas.microsoft.com/office/infopath/2007/PartnerControls">1a23c89f-ef54-4907-86fd-8242403ff722</TermId>
        </TermInfo>
      </Terms>
    </n2a7a23bcc2241cb9261f9a914c7c1bb>
    <TaxCatchAll xmlns="611ea500-83e9-4ef4-bf2f-c0233a31331f">
      <Value>5</Value>
      <Value>1</Value>
    </TaxCatchAll>
    <lca20d149a844688b6abf34073d5c21d xmlns="611ea500-83e9-4ef4-bf2f-c0233a31331f">
      <Terms xmlns="http://schemas.microsoft.com/office/infopath/2007/PartnerControls"/>
    </lca20d149a844688b6abf34073d5c21d>
    <_dlc_DocId xmlns="611ea500-83e9-4ef4-bf2f-c0233a31331f">K5WJPCK5SUVE-119146697-12168</_dlc_DocId>
    <_dlc_DocIdUrl xmlns="611ea500-83e9-4ef4-bf2f-c0233a31331f">
      <Url>https://365tno.sharepoint.com/teams/P060.33948/_layouts/15/DocIdRedir.aspx?ID=K5WJPCK5SUVE-119146697-12168</Url>
      <Description>K5WJPCK5SUVE-119146697-12168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678EFA-B14D-4DC0-84E2-F747C40661CA}">
  <ds:schemaRefs>
    <ds:schemaRef ds:uri="http://schemas.microsoft.com/sharepoint/events"/>
  </ds:schemaRefs>
</ds:datastoreItem>
</file>

<file path=customXml/itemProps2.xml><?xml version="1.0" encoding="utf-8"?>
<ds:datastoreItem xmlns:ds="http://schemas.openxmlformats.org/officeDocument/2006/customXml" ds:itemID="{DF8B6B2A-606A-40F7-9C36-47197BC81C02}"/>
</file>

<file path=customXml/itemProps3.xml><?xml version="1.0" encoding="utf-8"?>
<ds:datastoreItem xmlns:ds="http://schemas.openxmlformats.org/officeDocument/2006/customXml" ds:itemID="{5B5024E2-4571-4837-AA90-626DE1BCD0FB}">
  <ds:schemaRefs>
    <ds:schemaRef ds:uri="http://schemas.microsoft.com/office/2006/metadata/properties"/>
    <ds:schemaRef ds:uri="http://schemas.microsoft.com/office/infopath/2007/PartnerControls"/>
    <ds:schemaRef ds:uri="2f6a910d-138e-42c1-8e8a-320c1b7cf3f7"/>
    <ds:schemaRef ds:uri="611ea500-83e9-4ef4-bf2f-c0233a31331f"/>
  </ds:schemaRefs>
</ds:datastoreItem>
</file>

<file path=customXml/itemProps4.xml><?xml version="1.0" encoding="utf-8"?>
<ds:datastoreItem xmlns:ds="http://schemas.openxmlformats.org/officeDocument/2006/customXml" ds:itemID="{9D46A041-DD11-43DA-9354-C886714C52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READ ME</vt:lpstr>
      <vt:lpstr>Data input OLD</vt:lpstr>
      <vt:lpstr>ESDL Change log 10-11-2022</vt:lpstr>
      <vt:lpstr>Data input</vt:lpstr>
      <vt:lpstr>Technology Factsheet</vt:lpstr>
      <vt:lpstr>List</vt:lpstr>
      <vt:lpstr>Calculations</vt:lpstr>
      <vt:lpstr>JRC_ETRI_Wind energy</vt:lpstr>
      <vt:lpstr>Visual representation</vt:lpstr>
      <vt:lpstr>Change log</vt:lpstr>
      <vt:lpstr>'READ ME'!_ftn1</vt:lpstr>
      <vt:lpstr>'READ ME'!_ftnref1</vt:lpstr>
      <vt:lpstr>Calculations!_MailOriginal</vt:lpstr>
      <vt:lpstr>Calculations!AEP</vt:lpstr>
      <vt:lpstr>Calculations!CAPEX_2020</vt:lpstr>
      <vt:lpstr>Calculations!CAPEX_2020_high</vt:lpstr>
      <vt:lpstr>Calculations!CAPEX_2020_low</vt:lpstr>
      <vt:lpstr>Calculations!LR_high</vt:lpstr>
      <vt:lpstr>Calculations!LR_high_2030</vt:lpstr>
      <vt:lpstr>Calculations!LR_low</vt:lpstr>
      <vt:lpstr>Calculations!LR_low_2030</vt:lpstr>
      <vt:lpstr>Calculations!LR_med</vt:lpstr>
      <vt:lpstr>Calculations!LR_med_2030</vt:lpstr>
      <vt:lpstr>Calculations!NewCapacity_MW</vt:lpstr>
      <vt:lpstr>Calculations!OPEX_2020</vt:lpstr>
      <vt:lpstr>Calculations!OPEX_2020_High</vt:lpstr>
      <vt:lpstr>Calculations!OPEX_2020_Low</vt:lpstr>
      <vt:lpstr>Calculations!OPEX_mid</vt:lpstr>
      <vt:lpstr>'READ ME'!Print_Area</vt:lpstr>
      <vt:lpstr>'Technology Factsheet'!Print_Area</vt:lpstr>
      <vt:lpstr>Calculations!SD_2020</vt:lpstr>
      <vt:lpstr>Calculations!Years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Clisby, L.E. (Lauren)</cp:lastModifiedBy>
  <cp:revision/>
  <dcterms:created xsi:type="dcterms:W3CDTF">2018-07-06T12:34:34Z</dcterms:created>
  <dcterms:modified xsi:type="dcterms:W3CDTF">2023-12-05T12:25:20Z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0x010100A35317DCC28344A7B82488658A034A5C0100930A1513B42B0E4BA633819D1BDE4F35</vt:lpwstr>
  </property>
  <property fmtid="{D5CDD505-2E9C-101B-9397-08002B2CF9AE}" pid="3" name="TNOC_DocumentClassification">
    <vt:lpwstr>5;#TNO Internal|1a23c89f-ef54-4907-86fd-8242403ff722</vt:lpwstr>
  </property>
  <property fmtid="{D5CDD505-2E9C-101B-9397-08002B2CF9AE}" pid="4" name="TNOC_DocumentType">
    <vt:lpwstr/>
  </property>
  <property fmtid="{D5CDD505-2E9C-101B-9397-08002B2CF9AE}" pid="5" name="TNOC_ClusterType">
    <vt:lpwstr>1;#Project|fa11c4c9-105f-402c-bb40-9a56b4989397</vt:lpwstr>
  </property>
  <property fmtid="{D5CDD505-2E9C-101B-9397-08002B2CF9AE}" pid="6" name="TNOC_DocumentCategory">
    <vt:lpwstr/>
  </property>
  <property fmtid="{D5CDD505-2E9C-101B-9397-08002B2CF9AE}" pid="7" name="TNOC_DocumentSetType">
    <vt:lpwstr/>
  </property>
  <property fmtid="{D5CDD505-2E9C-101B-9397-08002B2CF9AE}" pid="8" name="_dlc_DocIdItemGuid">
    <vt:lpwstr>2481bb22-2cb4-403e-8b1c-3beb1bafd487</vt:lpwstr>
  </property>
</Properties>
</file>