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365tno.sharepoint.com/teams/P060.33948/TeamDocuments/Team/Final Factsheets 2018-2021/ESDL ready/"/>
    </mc:Choice>
  </mc:AlternateContent>
  <xr:revisionPtr revIDLastSave="282" documentId="13_ncr:1_{FB6873C9-3A1E-45CB-9776-7E3E31404411}" xr6:coauthVersionLast="47" xr6:coauthVersionMax="47" xr10:uidLastSave="{AFE81267-E2BF-4351-9F03-E303A1F77071}"/>
  <workbookProtection workbookAlgorithmName="SHA-512" workbookHashValue="vNc52ErMacCrnNOBTFd/uwr5VHZRY/9BqCXL5WWqBRT9aMs7jPN7ModYgdgFC2WvlQHqls90Y9Sj0oCLW48jqA==" workbookSaltValue="GXHq/9KqszmPFHn5Zn/saA==" workbookSpinCount="100000" lockStructure="1"/>
  <bookViews>
    <workbookView xWindow="-120" yWindow="-120" windowWidth="51840" windowHeight="21240" tabRatio="642" firstSheet="4" activeTab="4" xr2:uid="{00000000-000D-0000-FFFF-FFFF00000000}"/>
  </bookViews>
  <sheets>
    <sheet name="READ ME" sheetId="3" state="hidden" r:id="rId1"/>
    <sheet name="Data input OLD" sheetId="7" state="hidden" r:id="rId2"/>
    <sheet name="ESDL Change log 09-11-2022" sheetId="8" state="hidden" r:id="rId3"/>
    <sheet name="Data input" sheetId="2" state="hidden" r:id="rId4"/>
    <sheet name="Technology Factsheet" sheetId="1" r:id="rId5"/>
    <sheet name="List" sheetId="4" state="hidden" r:id="rId6"/>
    <sheet name="Calculations" sheetId="5" state="hidden" r:id="rId7"/>
    <sheet name="Visual representation" sheetId="6" state="hidden" r:id="rId8"/>
  </sheets>
  <definedNames>
    <definedName name="_ftn1" localSheetId="0">'READ ME'!$C$116</definedName>
    <definedName name="_ftnref1" localSheetId="0">'READ ME'!$C$104</definedName>
    <definedName name="_MailOriginal" localSheetId="6">Calculations!$D$243</definedName>
    <definedName name="_xlnm.Print_Area" localSheetId="0">'READ ME'!$A$1:$D$119</definedName>
    <definedName name="_xlnm.Print_Area" localSheetId="4">'Technology Factsheet'!$B$42:$O$70</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9" i="8" l="1"/>
  <c r="D18" i="8"/>
  <c r="D17" i="8"/>
  <c r="D16" i="8"/>
  <c r="D15" i="8"/>
  <c r="D14" i="8"/>
  <c r="D12" i="8"/>
  <c r="D11" i="8"/>
  <c r="D10" i="8"/>
  <c r="BA101" i="7"/>
  <c r="BA100" i="7"/>
  <c r="BA99" i="7"/>
  <c r="BA98" i="7"/>
  <c r="BA97" i="7"/>
  <c r="BA96" i="7"/>
  <c r="BA95" i="7"/>
  <c r="BA94" i="7"/>
  <c r="BA93" i="7"/>
  <c r="BA92" i="7"/>
  <c r="BA91" i="7"/>
  <c r="BA77" i="7"/>
  <c r="BA65" i="7"/>
  <c r="BA57" i="7"/>
  <c r="BA45" i="7"/>
  <c r="E43" i="7"/>
  <c r="Q41" i="7"/>
  <c r="L41" i="7"/>
  <c r="G41" i="7"/>
  <c r="E41" i="7"/>
  <c r="Q39" i="7"/>
  <c r="L39" i="7"/>
  <c r="G39" i="7"/>
  <c r="E39" i="7"/>
  <c r="S37" i="7"/>
  <c r="R37" i="7"/>
  <c r="Q37" i="7"/>
  <c r="N37" i="7"/>
  <c r="M37" i="7"/>
  <c r="L37" i="7"/>
  <c r="I37" i="7"/>
  <c r="H37" i="7"/>
  <c r="G37" i="7"/>
  <c r="E37" i="7"/>
  <c r="AZ33" i="7"/>
  <c r="Q22" i="7"/>
  <c r="L22" i="7"/>
  <c r="G22" i="7"/>
  <c r="G19" i="7"/>
  <c r="D18" i="7"/>
  <c r="AZ13" i="7"/>
  <c r="AZ11" i="7"/>
  <c r="D10" i="1"/>
  <c r="D25" i="1" l="1"/>
  <c r="B71" i="1"/>
  <c r="B70" i="1"/>
  <c r="H227" i="5" l="1"/>
  <c r="E307" i="5" l="1"/>
  <c r="T177" i="5"/>
  <c r="W177" i="5" s="1"/>
  <c r="Y177" i="5" s="1"/>
  <c r="P220" i="5"/>
  <c r="X220" i="5"/>
  <c r="X219" i="5"/>
  <c r="X218" i="5"/>
  <c r="U74" i="5"/>
  <c r="V74" i="5" s="1"/>
  <c r="Z219" i="5" s="1"/>
  <c r="Q220" i="5" l="1"/>
  <c r="T220" i="5"/>
  <c r="S220" i="5"/>
  <c r="R220" i="5"/>
  <c r="F307" i="5"/>
  <c r="G307" i="5" s="1"/>
  <c r="H307" i="5" s="1"/>
  <c r="I307" i="5" s="1"/>
  <c r="J307" i="5" s="1"/>
  <c r="K307" i="5" s="1"/>
  <c r="L307" i="5" s="1"/>
  <c r="M307" i="5" s="1"/>
  <c r="N307" i="5" s="1"/>
  <c r="O307" i="5" s="1"/>
  <c r="P307" i="5" s="1"/>
  <c r="Q307" i="5" s="1"/>
  <c r="R307" i="5" s="1"/>
  <c r="S307" i="5" s="1"/>
  <c r="T307" i="5" s="1"/>
  <c r="U307" i="5" s="1"/>
  <c r="V307" i="5" s="1"/>
  <c r="W307" i="5" s="1"/>
  <c r="X307" i="5" s="1"/>
  <c r="Y307" i="5" s="1"/>
  <c r="Z307" i="5" s="1"/>
  <c r="AA307" i="5" s="1"/>
  <c r="AB307" i="5" s="1"/>
  <c r="AB180" i="5"/>
  <c r="AB179" i="5"/>
  <c r="AD179" i="5" s="1"/>
  <c r="AD197" i="5"/>
  <c r="AB197" i="5"/>
  <c r="AC197" i="5" s="1"/>
  <c r="T73" i="5"/>
  <c r="AA218" i="5" s="1"/>
  <c r="U73" i="5"/>
  <c r="X236" i="5"/>
  <c r="Y236" i="5" s="1"/>
  <c r="AE236" i="5" s="1"/>
  <c r="X235" i="5"/>
  <c r="Y235" i="5" s="1"/>
  <c r="AE235" i="5" s="1"/>
  <c r="X234" i="5"/>
  <c r="Y234" i="5" s="1"/>
  <c r="AE234" i="5" s="1"/>
  <c r="X233" i="5"/>
  <c r="Y233" i="5" s="1"/>
  <c r="AE233" i="5" s="1"/>
  <c r="V237" i="5"/>
  <c r="V236" i="5"/>
  <c r="V235" i="5"/>
  <c r="V234" i="5"/>
  <c r="V233" i="5"/>
  <c r="V232" i="5"/>
  <c r="V73" i="5" l="1"/>
  <c r="Z218" i="5" s="1"/>
  <c r="U75" i="5"/>
  <c r="V75" i="5" s="1"/>
  <c r="Z220" i="5" s="1"/>
  <c r="T74" i="5"/>
  <c r="F309" i="5"/>
  <c r="F308" i="5"/>
  <c r="F310" i="5"/>
  <c r="E43" i="2"/>
  <c r="E41" i="2"/>
  <c r="Q219" i="5" l="1"/>
  <c r="T219" i="5"/>
  <c r="S219" i="5"/>
  <c r="R219" i="5"/>
  <c r="AA219" i="5"/>
  <c r="T75" i="5"/>
  <c r="AA220" i="5" s="1"/>
  <c r="M238" i="5"/>
  <c r="L238" i="5"/>
  <c r="K238" i="5"/>
  <c r="D235" i="5"/>
  <c r="D237" i="5" s="1"/>
  <c r="G35" i="1" l="1"/>
  <c r="T178" i="5"/>
  <c r="AA186" i="5"/>
  <c r="AA185" i="5"/>
  <c r="AA184" i="5"/>
  <c r="AA183" i="5"/>
  <c r="AA182" i="5"/>
  <c r="AA181" i="5"/>
  <c r="S178" i="5"/>
  <c r="S177" i="5"/>
  <c r="J188" i="5"/>
  <c r="J186" i="5"/>
  <c r="J185" i="5"/>
  <c r="J180" i="5"/>
  <c r="I180" i="5"/>
  <c r="H180" i="5"/>
  <c r="G180" i="5"/>
  <c r="G188" i="5"/>
  <c r="J196" i="5"/>
  <c r="R185" i="5" s="1"/>
  <c r="T185" i="5" s="1"/>
  <c r="J191" i="5"/>
  <c r="I191" i="5"/>
  <c r="H191" i="5"/>
  <c r="G191" i="5"/>
  <c r="F191" i="5"/>
  <c r="I188" i="5"/>
  <c r="H188" i="5"/>
  <c r="I184" i="5"/>
  <c r="I195" i="5" s="1"/>
  <c r="I183" i="5"/>
  <c r="I194" i="5" s="1"/>
  <c r="R183" i="5" s="1"/>
  <c r="H182" i="5"/>
  <c r="H193" i="5" s="1"/>
  <c r="H181" i="5"/>
  <c r="H192" i="5" s="1"/>
  <c r="F160" i="5"/>
  <c r="H164" i="5"/>
  <c r="G164" i="5"/>
  <c r="F164" i="5"/>
  <c r="H163" i="5"/>
  <c r="G163" i="5"/>
  <c r="F163" i="5"/>
  <c r="I162" i="5"/>
  <c r="H162" i="5"/>
  <c r="G162" i="5"/>
  <c r="I161" i="5"/>
  <c r="H161" i="5"/>
  <c r="G161" i="5"/>
  <c r="I160" i="5"/>
  <c r="H160" i="5"/>
  <c r="G160" i="5"/>
  <c r="Y131" i="5"/>
  <c r="R191" i="5" s="1"/>
  <c r="AC200" i="5" s="1"/>
  <c r="AD185" i="5" l="1"/>
  <c r="R184" i="5"/>
  <c r="S183" i="5"/>
  <c r="AB183" i="5"/>
  <c r="T183" i="5"/>
  <c r="R181" i="5"/>
  <c r="V178" i="5"/>
  <c r="X178" i="5" s="1"/>
  <c r="AC180" i="5"/>
  <c r="AB185" i="5"/>
  <c r="S185" i="5"/>
  <c r="R182" i="5"/>
  <c r="W178" i="5"/>
  <c r="Y178" i="5" s="1"/>
  <c r="AD180" i="5"/>
  <c r="V177" i="5"/>
  <c r="X177" i="5" s="1"/>
  <c r="AC179" i="5"/>
  <c r="S181" i="5"/>
  <c r="T182" i="5"/>
  <c r="AD182" i="5" s="1"/>
  <c r="J197" i="5"/>
  <c r="R186" i="5" s="1"/>
  <c r="H102" i="5"/>
  <c r="J25" i="5"/>
  <c r="J26" i="5" s="1"/>
  <c r="J27" i="5" s="1"/>
  <c r="U49" i="5"/>
  <c r="U51" i="5" s="1"/>
  <c r="G19" i="2"/>
  <c r="S186" i="5" l="1"/>
  <c r="AC186" i="5" s="1"/>
  <c r="R211" i="5"/>
  <c r="AB182" i="5"/>
  <c r="S182" i="5"/>
  <c r="AC182" i="5" s="1"/>
  <c r="AB181" i="5"/>
  <c r="T181" i="5"/>
  <c r="P211" i="5"/>
  <c r="P221" i="5" s="1"/>
  <c r="AC183" i="5"/>
  <c r="AB186" i="5"/>
  <c r="T186" i="5"/>
  <c r="AD183" i="5"/>
  <c r="T184" i="5"/>
  <c r="S184" i="5"/>
  <c r="AB184" i="5"/>
  <c r="R212" i="5"/>
  <c r="AC185" i="5"/>
  <c r="S211" i="5"/>
  <c r="R221" i="5"/>
  <c r="AC181" i="5"/>
  <c r="P212" i="5"/>
  <c r="P222" i="5" s="1"/>
  <c r="Q211" i="5"/>
  <c r="B65" i="1"/>
  <c r="AC184" i="5" l="1"/>
  <c r="Q212" i="5"/>
  <c r="AD184" i="5"/>
  <c r="Q213" i="5"/>
  <c r="Q223" i="5"/>
  <c r="Q222" i="5"/>
  <c r="AD186" i="5"/>
  <c r="R213" i="5"/>
  <c r="P225" i="5"/>
  <c r="AD221" i="5"/>
  <c r="AD225" i="5" s="1"/>
  <c r="Q221" i="5"/>
  <c r="S221" i="5"/>
  <c r="T211" i="5"/>
  <c r="T221" i="5" s="1"/>
  <c r="AD222" i="5"/>
  <c r="AD226" i="5" s="1"/>
  <c r="P226" i="5"/>
  <c r="P213" i="5"/>
  <c r="P223" i="5" s="1"/>
  <c r="AD181" i="5"/>
  <c r="R225" i="5"/>
  <c r="AF221" i="5"/>
  <c r="AF225" i="5" s="1"/>
  <c r="R222" i="5"/>
  <c r="S212" i="5"/>
  <c r="G61" i="1"/>
  <c r="J19" i="1"/>
  <c r="AE222" i="5" l="1"/>
  <c r="AE226" i="5" s="1"/>
  <c r="Q226" i="5"/>
  <c r="R226" i="5"/>
  <c r="AF222" i="5"/>
  <c r="AF226" i="5" s="1"/>
  <c r="AD223" i="5"/>
  <c r="AD227" i="5" s="1"/>
  <c r="P227" i="5"/>
  <c r="S225" i="5"/>
  <c r="AG221" i="5"/>
  <c r="AG225" i="5" s="1"/>
  <c r="T212" i="5"/>
  <c r="T222" i="5" s="1"/>
  <c r="S222" i="5"/>
  <c r="Q225" i="5"/>
  <c r="AE221" i="5"/>
  <c r="AE225" i="5" s="1"/>
  <c r="AE223" i="5"/>
  <c r="AE227" i="5" s="1"/>
  <c r="Q227" i="5"/>
  <c r="T225" i="5"/>
  <c r="AH221" i="5"/>
  <c r="AH225" i="5" s="1"/>
  <c r="R223" i="5"/>
  <c r="S213" i="5"/>
  <c r="G37" i="1"/>
  <c r="D29" i="1"/>
  <c r="F18" i="1"/>
  <c r="D21" i="1"/>
  <c r="D18" i="1"/>
  <c r="S223" i="5" l="1"/>
  <c r="T213" i="5"/>
  <c r="T223" i="5" s="1"/>
  <c r="S226" i="5"/>
  <c r="AG222" i="5"/>
  <c r="AG226" i="5" s="1"/>
  <c r="R227" i="5"/>
  <c r="AF223" i="5"/>
  <c r="AF227" i="5" s="1"/>
  <c r="T226" i="5"/>
  <c r="AH222" i="5"/>
  <c r="AH226" i="5" s="1"/>
  <c r="D63" i="1"/>
  <c r="T227" i="5" l="1"/>
  <c r="AH223" i="5"/>
  <c r="AH227" i="5" s="1"/>
  <c r="S227" i="5"/>
  <c r="AG223" i="5"/>
  <c r="AG227" i="5" s="1"/>
  <c r="E25" i="1"/>
  <c r="D26" i="1"/>
  <c r="AZ13" i="2" l="1"/>
  <c r="BA92" i="2"/>
  <c r="BA93" i="2"/>
  <c r="BA94" i="2"/>
  <c r="BA95" i="2"/>
  <c r="BA96" i="2"/>
  <c r="BA97" i="2"/>
  <c r="BA98" i="2"/>
  <c r="BA99" i="2"/>
  <c r="BA100" i="2"/>
  <c r="BA101" i="2"/>
  <c r="BA91" i="2"/>
  <c r="BA77" i="2"/>
  <c r="BA65" i="2"/>
  <c r="BA57" i="2"/>
  <c r="BA45" i="2"/>
  <c r="AZ33" i="2"/>
  <c r="AZ11" i="2"/>
  <c r="AZ63" i="1"/>
  <c r="O22" i="1" l="1"/>
  <c r="M22" i="1"/>
  <c r="L22" i="1"/>
  <c r="J22" i="1"/>
  <c r="I22" i="1"/>
  <c r="G22" i="1"/>
  <c r="M21" i="1"/>
  <c r="J21" i="1"/>
  <c r="G21" i="1"/>
  <c r="M19" i="1"/>
  <c r="G19" i="1"/>
  <c r="B75" i="1" l="1"/>
  <c r="AZ75" i="1" s="1"/>
  <c r="AZ65" i="1"/>
  <c r="F61" i="1"/>
  <c r="F59" i="1"/>
  <c r="F57" i="1"/>
  <c r="F55" i="1"/>
  <c r="E39" i="1"/>
  <c r="E37" i="1"/>
  <c r="E35" i="1"/>
  <c r="E33" i="1"/>
  <c r="D13" i="1" l="1"/>
  <c r="AZ13" i="1" s="1"/>
  <c r="D61" i="1"/>
  <c r="D59" i="1"/>
  <c r="D57" i="1"/>
  <c r="D55" i="1"/>
  <c r="D45" i="1"/>
  <c r="D50" i="1"/>
  <c r="D48" i="1"/>
  <c r="D46" i="1"/>
  <c r="AZ29" i="1"/>
  <c r="D23" i="1"/>
  <c r="B73" i="1"/>
  <c r="AZ73" i="1" s="1"/>
  <c r="B74" i="1"/>
  <c r="AZ74" i="1" s="1"/>
  <c r="B67" i="1"/>
  <c r="AZ67" i="1" s="1"/>
  <c r="B68" i="1"/>
  <c r="AZ68" i="1" s="1"/>
  <c r="B69" i="1"/>
  <c r="AZ69" i="1" s="1"/>
  <c r="AZ70" i="1"/>
  <c r="AZ71" i="1"/>
  <c r="B72" i="1"/>
  <c r="AZ72" i="1" s="1"/>
  <c r="B66" i="1"/>
  <c r="AZ66" i="1" s="1"/>
  <c r="O62" i="1"/>
  <c r="M62" i="1"/>
  <c r="L62" i="1"/>
  <c r="J62" i="1"/>
  <c r="O60" i="1"/>
  <c r="M60" i="1"/>
  <c r="L60" i="1"/>
  <c r="J60" i="1"/>
  <c r="O58" i="1"/>
  <c r="M58" i="1"/>
  <c r="L58" i="1"/>
  <c r="J58" i="1"/>
  <c r="O56" i="1"/>
  <c r="M56" i="1"/>
  <c r="L56" i="1"/>
  <c r="J56" i="1"/>
  <c r="I62" i="1"/>
  <c r="G62" i="1"/>
  <c r="I60" i="1"/>
  <c r="G60" i="1"/>
  <c r="I58" i="1"/>
  <c r="G58" i="1"/>
  <c r="I56" i="1"/>
  <c r="G56" i="1"/>
  <c r="M61" i="1"/>
  <c r="J61" i="1"/>
  <c r="M59" i="1"/>
  <c r="J59" i="1"/>
  <c r="G59" i="1"/>
  <c r="M57" i="1"/>
  <c r="J57" i="1"/>
  <c r="G57" i="1"/>
  <c r="M55" i="1"/>
  <c r="J55" i="1"/>
  <c r="G55" i="1"/>
  <c r="D52" i="1"/>
  <c r="AZ52" i="1" s="1"/>
  <c r="D24" i="1"/>
  <c r="D41" i="1"/>
  <c r="AZ41" i="1" s="1"/>
  <c r="O51" i="1"/>
  <c r="M51" i="1"/>
  <c r="O49" i="1"/>
  <c r="M49" i="1"/>
  <c r="O47" i="1"/>
  <c r="M47" i="1"/>
  <c r="O45" i="1"/>
  <c r="M45" i="1"/>
  <c r="L51" i="1"/>
  <c r="J51" i="1"/>
  <c r="L49" i="1"/>
  <c r="J49" i="1"/>
  <c r="L47" i="1"/>
  <c r="J47" i="1"/>
  <c r="L45" i="1"/>
  <c r="J45" i="1"/>
  <c r="I51" i="1"/>
  <c r="G51" i="1"/>
  <c r="I49" i="1"/>
  <c r="G49" i="1"/>
  <c r="I47" i="1"/>
  <c r="G47" i="1"/>
  <c r="I45" i="1"/>
  <c r="G45" i="1"/>
  <c r="M50" i="1"/>
  <c r="M48" i="1"/>
  <c r="M46" i="1"/>
  <c r="M44" i="1"/>
  <c r="J50" i="1"/>
  <c r="J48" i="1"/>
  <c r="J46" i="1"/>
  <c r="J44" i="1"/>
  <c r="G50" i="1"/>
  <c r="G48" i="1"/>
  <c r="G46" i="1"/>
  <c r="G44" i="1"/>
  <c r="O40" i="1"/>
  <c r="M40" i="1"/>
  <c r="O34" i="1"/>
  <c r="M34" i="1"/>
  <c r="L40" i="1"/>
  <c r="J40" i="1"/>
  <c r="L34" i="1"/>
  <c r="J34" i="1"/>
  <c r="I40" i="1"/>
  <c r="G40" i="1"/>
  <c r="I34" i="1"/>
  <c r="G34" i="1"/>
  <c r="M39" i="1"/>
  <c r="J39" i="1"/>
  <c r="G39" i="1"/>
  <c r="M37" i="1"/>
  <c r="J37" i="1"/>
  <c r="M35" i="1"/>
  <c r="J35" i="1"/>
  <c r="M33" i="1"/>
  <c r="J33" i="1"/>
  <c r="G33" i="1"/>
  <c r="E37" i="2"/>
  <c r="E39" i="2"/>
  <c r="D27" i="1"/>
  <c r="D28" i="1"/>
  <c r="D9" i="1"/>
  <c r="G16" i="1"/>
  <c r="D18" i="2"/>
  <c r="D16" i="1" s="1"/>
  <c r="D12" i="1"/>
  <c r="D6" i="1"/>
  <c r="AZ10" i="1"/>
  <c r="D7" i="1"/>
  <c r="D8" i="1"/>
  <c r="D4" i="1"/>
</calcChain>
</file>

<file path=xl/sharedStrings.xml><?xml version="1.0" encoding="utf-8"?>
<sst xmlns="http://schemas.openxmlformats.org/spreadsheetml/2006/main" count="2106" uniqueCount="689">
  <si>
    <t>GENERAL INSTRUCTIONS</t>
  </si>
  <si>
    <t>●</t>
  </si>
  <si>
    <t>The technology factsheet contains information about one specific option (e.g. capacity, potential, costs, energy and emission effects and supporting descriptions).</t>
  </si>
  <si>
    <t>The factsheet should be filled-in by technical experts in the technology field and used as a reference internally (e.g. input for OPERA model) and externally.</t>
  </si>
  <si>
    <t xml:space="preserve">The data in the technology factsheet is for technology options in the Netherlands and could be used for EU countries. </t>
  </si>
  <si>
    <t>A regular update of technology factsheet is required every 3-5 years.</t>
  </si>
  <si>
    <t>Read carefully the definitions and instructions for each parameter below and fill-in all data in the 'Data input' tab. The data will be automatically allocated in the factsheet (see 'Factsheet' tab).</t>
  </si>
  <si>
    <t>The 'Factsheet' tab is locked. If a change is necessary, please send a request to Silvana Gamboa or Koen Smekens.</t>
  </si>
  <si>
    <t>→</t>
  </si>
  <si>
    <r>
      <rPr>
        <b/>
        <i/>
        <sz val="12"/>
        <color theme="1"/>
        <rFont val="Calibri"/>
        <family val="2"/>
        <scheme val="minor"/>
      </rPr>
      <t>READ ME</t>
    </r>
    <r>
      <rPr>
        <i/>
        <sz val="12"/>
        <color theme="1"/>
        <rFont val="Calibri"/>
        <family val="2"/>
        <scheme val="minor"/>
      </rPr>
      <t>: Definitions of parameters and instructions. Units and conversions factors (incl. monetary conversions) are also found below.</t>
    </r>
  </si>
  <si>
    <r>
      <rPr>
        <b/>
        <i/>
        <sz val="12"/>
        <color theme="1"/>
        <rFont val="Calibri"/>
        <family val="2"/>
        <scheme val="minor"/>
      </rPr>
      <t>Data input:</t>
    </r>
    <r>
      <rPr>
        <i/>
        <sz val="12"/>
        <color theme="1"/>
        <rFont val="Calibri"/>
        <family val="2"/>
        <scheme val="minor"/>
      </rPr>
      <t xml:space="preserve"> Technology factsheet data to be filled-in by the expert.</t>
    </r>
  </si>
  <si>
    <r>
      <rPr>
        <b/>
        <i/>
        <sz val="12"/>
        <color theme="1"/>
        <rFont val="Calibri"/>
        <family val="2"/>
        <scheme val="minor"/>
      </rPr>
      <t xml:space="preserve">Technology Factsheet: </t>
    </r>
    <r>
      <rPr>
        <i/>
        <sz val="12"/>
        <color theme="1"/>
        <rFont val="Calibri"/>
        <family val="2"/>
        <scheme val="minor"/>
      </rPr>
      <t>Factsheet filled-in automatically from the data in the 'Data input' tab. This tab is protected.</t>
    </r>
  </si>
  <si>
    <r>
      <rPr>
        <b/>
        <i/>
        <sz val="12"/>
        <color theme="1"/>
        <rFont val="Calibri"/>
        <family val="2"/>
        <scheme val="minor"/>
      </rPr>
      <t>List:</t>
    </r>
    <r>
      <rPr>
        <i/>
        <sz val="12"/>
        <color theme="1"/>
        <rFont val="Calibri"/>
        <family val="2"/>
        <scheme val="minor"/>
      </rPr>
      <t xml:space="preserve"> Lists of sectors, units, energy carriers, etc. that are used in the 'Data input' tab (drop-down menu's)</t>
    </r>
  </si>
  <si>
    <r>
      <rPr>
        <b/>
        <i/>
        <sz val="12"/>
        <color theme="1"/>
        <rFont val="Calibri"/>
        <family val="2"/>
        <scheme val="minor"/>
      </rPr>
      <t>Calculations:</t>
    </r>
    <r>
      <rPr>
        <i/>
        <sz val="12"/>
        <color theme="1"/>
        <rFont val="Calibri"/>
        <family val="2"/>
        <scheme val="minor"/>
      </rPr>
      <t xml:space="preserve"> Here, calcuations, screen-shots and other references can be placed to back-up the data of the factsheet. Please note that the information placed here will not be included in the Technology Factsheet for disclosure.</t>
    </r>
  </si>
  <si>
    <r>
      <rPr>
        <b/>
        <i/>
        <sz val="12"/>
        <color theme="1"/>
        <rFont val="Calibri"/>
        <family val="2"/>
        <scheme val="minor"/>
      </rPr>
      <t xml:space="preserve">Visual representation: </t>
    </r>
    <r>
      <rPr>
        <i/>
        <sz val="12"/>
        <color theme="1"/>
        <rFont val="Calibri"/>
        <family val="2"/>
        <scheme val="minor"/>
      </rPr>
      <t xml:space="preserve">A relevant visual representation of the technology can be placed here. The image will be placed in the final technology factsheet to be disclosed. </t>
    </r>
  </si>
  <si>
    <t>PARAMETER</t>
  </si>
  <si>
    <t>DEFINITION</t>
  </si>
  <si>
    <t>HOW TO FILL-IN THE FACTSHEET?</t>
  </si>
  <si>
    <t>Sector</t>
  </si>
  <si>
    <t>To which sector the technology belongs to (according to OPERA classification).</t>
  </si>
  <si>
    <t xml:space="preserve">Select the sector from the drop-down menu. If the sector is not available in the menu, please specify in the field 'Other'. </t>
  </si>
  <si>
    <t>New sectors can be added to the drop-down menu within the tab 'List' upon request.</t>
  </si>
  <si>
    <t>ETS / Non-ETS</t>
  </si>
  <si>
    <t>Indicate if the technology falls within the Emissions Trading Scheme (ETS).</t>
  </si>
  <si>
    <t>Type of Technology</t>
  </si>
  <si>
    <t xml:space="preserve">Examples: renewable, saving, CCS, biomass, emission reduction, network (e.g. transformer), etc. </t>
  </si>
  <si>
    <t xml:space="preserve">Select the type of technology from the drop-down menu. New types of technologies can be added within the tab 'List' upon request. </t>
  </si>
  <si>
    <t>Description</t>
  </si>
  <si>
    <t xml:space="preserve">Description of the technology, including technology boundaries, components, applications, etc. </t>
  </si>
  <si>
    <t>The description is limited up to 700 characters.</t>
  </si>
  <si>
    <t xml:space="preserve">TRL </t>
  </si>
  <si>
    <t>Select the Technology Readiness Level (TRL) for 2020 based on the assessment below:</t>
  </si>
  <si>
    <t>Please specify data sources in the explanation box.</t>
  </si>
  <si>
    <t xml:space="preserve">NASA/DOD Technology Readiness Level </t>
  </si>
  <si>
    <t>TRL 9</t>
  </si>
  <si>
    <t>Actual system 'flight proven' through succesful mission operations</t>
  </si>
  <si>
    <t>TRL 8</t>
  </si>
  <si>
    <t>Actual system completed and 'flight qualified' through test and demonstration</t>
  </si>
  <si>
    <t>TRL 7</t>
  </si>
  <si>
    <t>System prototype demonstration in space environment</t>
  </si>
  <si>
    <t>TRL 6</t>
  </si>
  <si>
    <t>System/subsystem model or prototype demonstration in a relevant environment (ground or space)</t>
  </si>
  <si>
    <t>TRL 5</t>
  </si>
  <si>
    <t>Component and/or breadboard validation in relevant environment</t>
  </si>
  <si>
    <t>TRL 4</t>
  </si>
  <si>
    <t>Component and/or breadboard validation in laboratory environment</t>
  </si>
  <si>
    <t>TRL 3</t>
  </si>
  <si>
    <t>Analytical and experimental critical function and/or characteristic proof-of-concept</t>
  </si>
  <si>
    <t>TRL 2</t>
  </si>
  <si>
    <t>Technology concept and/or application formulated</t>
  </si>
  <si>
    <t>TRL 1</t>
  </si>
  <si>
    <t>Basic principles observed and reported</t>
  </si>
  <si>
    <t>TECHNICAL DIMENSIONS</t>
  </si>
  <si>
    <t>Factsheet Functional Unit</t>
  </si>
  <si>
    <t>Unit in which the capacity for production of the main output is expressed e.g. Mton or PJ</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</si>
  <si>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</si>
  <si>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</si>
  <si>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Capacity</t>
  </si>
  <si>
    <t xml:space="preserve">The typical technology capacity size or sizes if there is clear size dependent data. </t>
  </si>
  <si>
    <t xml:space="preserve">Technologies that differ largely in size (e.g. large and small scale) must be placed in different factsheets. </t>
  </si>
  <si>
    <t xml:space="preserve">Specify the Capacity value and its respective reference from up to 5 different data sources. Please aggregate all sources in the references and sources box at the bottom of 'Data input' tab. </t>
  </si>
  <si>
    <t xml:space="preserve">Data ranges (min,max) will be automatically allocated in the factsheet. </t>
  </si>
  <si>
    <t>Potential</t>
  </si>
  <si>
    <t>How much of the technology option can be installed in The Netherlands or EU?</t>
  </si>
  <si>
    <t xml:space="preserve">Specify the Potential value and its respective reference from up to 5 different data sources. Please aggregate all sources in the references and sources box at the bottom of 'Data input' tab. </t>
  </si>
  <si>
    <t>Select which region is covered for the potential from the drop-down menu.</t>
  </si>
  <si>
    <t>Market share (Deployment share)</t>
  </si>
  <si>
    <t xml:space="preserve">Current market share and maximum expected market share in the future (2030 and 2050). </t>
  </si>
  <si>
    <t>Market share can be optional for some technologies, in that case, please specify the Potential instead or vice-versa.</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</si>
  <si>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</si>
  <si>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</si>
  <si>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Capacity utilization factor</t>
  </si>
  <si>
    <t xml:space="preserve">The capacity utilization factor is the percentage of the total capacity that is actually being utilized e.g. capacity expansion to absorb additional renewable electricity or over-dimensioning.  </t>
  </si>
  <si>
    <t>If the capacity utlization factor is not filled-in, the value will be automatically assigned as one.</t>
  </si>
  <si>
    <t>Full-load running hours per year</t>
  </si>
  <si>
    <t>The typical number of hours that the technology in question operates per year.</t>
  </si>
  <si>
    <t>Unit of Activity</t>
  </si>
  <si>
    <t>Unit of annual production (output) per year</t>
  </si>
  <si>
    <t xml:space="preserve">Select the activity unit from the drop-down menu. </t>
  </si>
  <si>
    <t>Activity (Cap2Act) (Optional)</t>
  </si>
  <si>
    <t>Actual annual production (output) per year</t>
  </si>
  <si>
    <t>Specify the value for Activity.</t>
  </si>
  <si>
    <t>Activity = Capacity*Load Factor</t>
  </si>
  <si>
    <t>Only relevant for infrastructure technologies (e.g. the amount of energy per hour that can be delivered)</t>
  </si>
  <si>
    <t>Technical lifetime (years)</t>
  </si>
  <si>
    <t>The total amount of years during which the technology can technically perform/function before it must be replaced.</t>
  </si>
  <si>
    <t>Progress ratio</t>
  </si>
  <si>
    <t>Progress ratio (PR) is the cost reduction factor achieved by a doubling of the cumulative installed capacity of a technology.
Learning rate (LR) = 1 – PR
The underlying formula is : Ci= α*Ccumi^b 
Ci = cost of unit i
α = constant (cost unit 1)
Ccumi = Cumulative capacity at time of unit i
b = learning elasticity
A doubling of total cumulative capacity reduces specific costs by a factor of 2b. In the usual case where b is negative, 2b (labelled the progress ratio, PR) is between zero and one. The complement of the progress ratio (1-PR) is called the learning rate (LR). A learning elasticity (b) of -0.32, for example, yields a progress ratio of 0.80 and a learning rate of 20%. This means that the specific capital cost of newly installed capacity decreases by 20% for each doubling of total installed capacity. On a double-logarithmic scale, the decrease in costs appears as a straight line.</t>
  </si>
  <si>
    <t>Hourly profile</t>
  </si>
  <si>
    <t>Is there an hourly profile for the technology?</t>
  </si>
  <si>
    <t>Select YES/NO</t>
  </si>
  <si>
    <t xml:space="preserve">COSTS </t>
  </si>
  <si>
    <t>Year of Euro</t>
  </si>
  <si>
    <t>All costs data must be specified as €2015</t>
  </si>
  <si>
    <t>If amounts are expresed in other currencies or in euros of another year (e.g. €2016), the amount has to be converted. See Monetary conversions at the bottom of the tab.</t>
  </si>
  <si>
    <t>Investment costs</t>
  </si>
  <si>
    <t xml:space="preserve">Total investment costs (CAPEX) in euro in 2020, 2030 and 2050 per functional unit (e.g. per MW, per PJ). </t>
  </si>
  <si>
    <t xml:space="preserve">Specify the Costs and their respective reference for 2020(current), 2030 and 2050 from up to 5 different data sources. Please aggregate all sources in the references and sources box at the bottom of 'Data input' tab. </t>
  </si>
  <si>
    <t xml:space="preserve">The investments costs are in the case of a new application of the technology. This includes purchase costs, construction costs, net equipment costs and installation costs. Excludes indirect costs, design and site-specific costs. </t>
  </si>
  <si>
    <t>Specify in the costs explanation box what specifically is included in the investment costs.</t>
  </si>
  <si>
    <t xml:space="preserve">The costs should not be annualized. Site-specific costs (greenfield/brownfield), pre-design costs, pre-construction costs, financing costs should be extracted from the total value. </t>
  </si>
  <si>
    <t xml:space="preserve">Other costs </t>
  </si>
  <si>
    <t>E.g. electricity connection costs,  demolition and removal costs of decommissioned installations.</t>
  </si>
  <si>
    <t>Please specify Other costs within the Costs explanation box.</t>
  </si>
  <si>
    <t>Data input same as above.</t>
  </si>
  <si>
    <t xml:space="preserve">Fixed operational costs (excluding fuel costs) </t>
  </si>
  <si>
    <t>Fixed operational costs are per year.</t>
  </si>
  <si>
    <t xml:space="preserve">Variable costs (excluding fuel costs) </t>
  </si>
  <si>
    <t>Variable costs are per year.</t>
  </si>
  <si>
    <t>ENERGY IN- AND OUTPUTS</t>
  </si>
  <si>
    <t>Energy carriers</t>
  </si>
  <si>
    <t>Input/output of energy carriers per unit of the main output. The technology may consume/produce more than one input/output.</t>
  </si>
  <si>
    <t xml:space="preserve">Select the energy carrier from the drop-down menu (please specify the main output first). Other energy carriers can be added within the tab 'List' upon request. </t>
  </si>
  <si>
    <r>
      <t>For each technology, the amount of energy input/output to the process have to be filled in. The process may require more than one input e.g. available waste heat streams can be described as energy outputs or captured CO</t>
    </r>
    <r>
      <rPr>
        <vertAlign val="subscript"/>
        <sz val="12"/>
        <color theme="1"/>
        <rFont val="Calibri"/>
        <family val="2"/>
        <scheme val="minor"/>
      </rPr>
      <t>2</t>
    </r>
    <r>
      <rPr>
        <sz val="12"/>
        <color theme="1"/>
        <rFont val="Calibri"/>
        <family val="2"/>
        <scheme val="minor"/>
      </rPr>
      <t xml:space="preserve"> can also be seen as an output).</t>
    </r>
  </si>
  <si>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should be expressed as a ratio per unit of main output whereas inputs should be expressed as positive and values for outputs as negative. </t>
    </r>
  </si>
  <si>
    <t xml:space="preserve">The value should correspond 'per unit of output' (e.g. output of natural gas with 60% efficiency). Explain the details (i.e. efficiency) in the explanation box. </t>
  </si>
  <si>
    <t>MATERIAL FLOWS (Optional)</t>
  </si>
  <si>
    <t xml:space="preserve">Material flows </t>
  </si>
  <si>
    <t xml:space="preserve">Optional except for technologies with activity level associated e.g. iron, steel, ammonia production, ethylene, ethene. </t>
  </si>
  <si>
    <t>Specify the material flows and units and add the values for 2020, 2030 and 2050 withtheir respective references from up to 5 difference data sources. Please aggregate all sources in the references and sources box at the bottom of 'Data input' tab.</t>
  </si>
  <si>
    <t xml:space="preserve">EMISSIONS </t>
  </si>
  <si>
    <t>Emissions</t>
  </si>
  <si>
    <t>Non-fuel/energy-related emissions or emissions reductions (e.g. CCS)</t>
  </si>
  <si>
    <t xml:space="preserve">Select the substance and unit from the drop-down menu. Other emissions can be added within the tab 'List' upon request. </t>
  </si>
  <si>
    <t>Specify the Emissions for 2020, 2030 and 2050 with their respective references from up to 5 difference data sources. Please aggregate all sources in the references and sources box at the bottom of 'Data input' tab.</t>
  </si>
  <si>
    <t>OTHER (Optional)</t>
  </si>
  <si>
    <t>Other</t>
  </si>
  <si>
    <t>Extra relevant parameters for specific technologies e.g. charge/discharge time for batteries, efficiency, etc.</t>
  </si>
  <si>
    <t xml:space="preserve">Specify the parameter and unit adding more details in the explanations box below the sub- section. Here, you can specify the relevance of this parameter for the specific technology and references.  </t>
  </si>
  <si>
    <t>You may add one single value in the main reference for 2020 (current) or add values for 2020, 2030 and 2050 with their respective references from up to 5 difference data sources. Please aggregate all sources in the references and sources box at the bottom of 'Data input' tab.</t>
  </si>
  <si>
    <t>REFERENCES AND SOURCES</t>
  </si>
  <si>
    <t>For data values: Add references for each value in their 'Reference' cell (i.e. author and year) and aggregate all references with complete description at the bottom of the 'Data input' tab (in order of importance). If more than 10 references, add other sources under 'Others' box.</t>
  </si>
  <si>
    <t>For complementary data and text: Add all data sources with complete description at the bottom of the 'Data input' tab (in order of importance or mostly used). You may link these references with text in the explanatory boxes. If more than 10 references, add other sources under 'Others' box.</t>
  </si>
  <si>
    <t>UNITS</t>
  </si>
  <si>
    <t>Bln vehicle - km</t>
  </si>
  <si>
    <t>Use this unit to represent transport technologies</t>
  </si>
  <si>
    <t>GWe</t>
  </si>
  <si>
    <t>Gigawatt electrical</t>
  </si>
  <si>
    <t>kton</t>
  </si>
  <si>
    <t>Kiloton</t>
  </si>
  <si>
    <t>Mton</t>
  </si>
  <si>
    <t>Megaton</t>
  </si>
  <si>
    <t>Mton ethene</t>
  </si>
  <si>
    <t>Megaton ethene</t>
  </si>
  <si>
    <t>Mton NH3</t>
  </si>
  <si>
    <t>Megaton Ammonia</t>
  </si>
  <si>
    <t>Mton steel</t>
  </si>
  <si>
    <t>Megaton steel</t>
  </si>
  <si>
    <t>Mvtg</t>
  </si>
  <si>
    <t>Million vehicles</t>
  </si>
  <si>
    <t>PJ</t>
  </si>
  <si>
    <t>PetaJoule</t>
  </si>
  <si>
    <t>CONVERSION FACTORS</t>
  </si>
  <si>
    <t>COMMON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</si>
  <si>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</si>
  <si>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</si>
  <si>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</si>
  <si>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</si>
  <si>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1 MWh = 3,6 GJ</t>
  </si>
  <si>
    <t>1 GWh = 3,6 TJ</t>
  </si>
  <si>
    <t xml:space="preserve">1 TWh = 3,6 PJ </t>
  </si>
  <si>
    <t>OTHER CONVERSIONS</t>
  </si>
  <si>
    <t xml:space="preserve">The International Energy Agency offers a converter for energy units, you can find the converter in the link below: </t>
  </si>
  <si>
    <t>https://www.iea.org/statistics/resources/unitconverter/</t>
  </si>
  <si>
    <t>MONETARY CONVERSIONS</t>
  </si>
  <si>
    <t>If amounts are expresed in other currencies or in euros of another year (e.g. €2016), the amount has to be converted.</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</si>
  <si>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</si>
  <si>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Harmonised Index of Consumer Prices (HICP) for the Netherlands:</t>
  </si>
  <si>
    <t>HICP (2015 =100)</t>
  </si>
  <si>
    <t>2018*</t>
  </si>
  <si>
    <t xml:space="preserve">*As of August, 2018 - Follow update here: https://goo.gl/rvWufC </t>
  </si>
  <si>
    <t>Statistics Netherlands (CBS), “Consumentenprijzen; Europees geharmoniseerde prijsindex 2015=100”</t>
  </si>
  <si>
    <t>FACTSHEET DATA INPUT</t>
  </si>
  <si>
    <t>Please fill-in here all technology option data including detailed references and sources at the bottom.</t>
  </si>
  <si>
    <t>TECHNOLOGY DESCRIPTION</t>
  </si>
  <si>
    <t>Name of technology option</t>
  </si>
  <si>
    <t>Solar PV, rooftop &gt; 1 MWp, oriented South</t>
  </si>
  <si>
    <t>Date of factsheet</t>
  </si>
  <si>
    <t>Buildings</t>
  </si>
  <si>
    <t>Other (specify here)</t>
  </si>
  <si>
    <t>Non-ETS</t>
  </si>
  <si>
    <t>Renewable</t>
  </si>
  <si>
    <t>Solar photovoltaic (PV) systems convert solar irradiation into electricity. Various types of solar conversion technology types are currently on the market, each differing in terms of costs and efficiency. Examples of such variants comprise crystalline and multi-crystalline silicon PV (mainstream technology), as well as thin film PV (less common technology). This factsheet for solar PV focuses on mainstream technology. 
The solar modules generate direct current (DC). The DC might be used for off-grid applications, combined with an electricity storage system (a battery), however these systems will not be addressed in this factsheet: off-grid systems are considered niche markets where different pricing mechanisms occur. The major contribution for the Netherlands is expected to be in grid-connected systems. In these, DC from the modules is converted to alternating current (AC) by an inverter. 
A PV mounting structure allows to fix the panels in the right position: usually a fixed tilt angle and a fixed orientation, although sun-tracking systems are also possible (but in the Netherlands currently more expensive in terms of electricity generation costs). There are three main spatial layouts: firstly a south-facing system, tilted at 30 to 40 degrees, for high energy generation during the year, characterised by high power peaks (at noon) during summer. Secondly, systems may be oriented towards both east and west at a smaller tilt. Advantages of these systems are that more peak capacity can be installed on the available surface (higher kWp/m2) and that the power peak during summer is smaller, with a more balanced power generation during the day as a result. For the Netherlands, these two layout variants are the most common, and both can be realised on rooftops and in field installations. Solar tracked systems comprise a third system type, which maximise electrity generation by actively adjusting the inclination angle and orientation. This type of system may be applied in solar fields, at a higher investment cost and more operational expenses, plus more land use due to the wider spatial requirements. 
Other variants of solar PV applications exist as well, such as floating PV or facade PV, integrated in buildings. These types generally are more expensive, although cost reductions are certainly to be expected. The photovoltaic module is an important component determining the total system cost, but as module costs have been decreasing rapidly over time its relative importance in system costs is reducing, and other components are getting more weight. Examples of other components are inverter costs, construction material and installation labour. This latter component is an important factor, which can be reduced by increasing the project scale and by moving from rooftop to ground based installations. 
To estimate PV potentials, multiple methods exist, from bottom-up to top-down approaches. Bottom line however is that a large potential is existing, and possibly that system balancing constraints are more limiting than physical space. 
In the technology factsheets, five solar PV system types will be addressed: household rooftop systems (typically 2-10 kWp, on sloped roofs or on flat roofs), large rooftop systems (reference size 250 kWp, generally flat roofs), multi-MW rooftop systems (reference size 5 MWp, flat roofs) and multi-MW solar PV fields (reference size 10 MWp, ground-based). Also, floating PV is addressed indicatively. Note that for all layouts two orientations are defined: South and East/West. The difference lies in the respective value of the full-load hours and expenses for surface rents.
In this factsheet, data is presented for a typical 5 MWp system (approximately 19,000 modules), on a South-facing rooftop with a fixed tilt, inclined.</t>
  </si>
  <si>
    <t>TRL level 2020</t>
  </si>
  <si>
    <t>Many systems are operational worldwide. See CBS (2018) for the Dutch realisations.</t>
  </si>
  <si>
    <t>MW</t>
  </si>
  <si>
    <t>Functional Unit</t>
  </si>
  <si>
    <t>Main Source</t>
  </si>
  <si>
    <t>Source 2</t>
  </si>
  <si>
    <t>Source 3</t>
  </si>
  <si>
    <t>Source 4</t>
  </si>
  <si>
    <t>Source 5</t>
  </si>
  <si>
    <t>PBL 2019</t>
  </si>
  <si>
    <t>Reference</t>
  </si>
  <si>
    <t>Context</t>
  </si>
  <si>
    <t>Unit</t>
  </si>
  <si>
    <t>2020 (Current)</t>
  </si>
  <si>
    <t>NL</t>
  </si>
  <si>
    <t>See calculation sheet H229:T241</t>
  </si>
  <si>
    <t>Market share</t>
  </si>
  <si>
    <t>Specify here the market</t>
  </si>
  <si>
    <t>%</t>
  </si>
  <si>
    <t>PJ/year</t>
  </si>
  <si>
    <t>Specify here</t>
  </si>
  <si>
    <t>Please select</t>
  </si>
  <si>
    <t>Explanation</t>
  </si>
  <si>
    <t>The reference system assumed here is a 5 MWp system on a flat roof in utility buildings. 
The total PV installations for 2020 are assumed to represent around 8 GWp, based on the latest CBS figures (4,3 GWp for 2018), with a continuing growth up to 2020. Note that all potential data have been broken down into capacity range sectors, and that this potential may be filled either with South oriented systems, or with East/West oriented systems. For 2030, the assumed cumulative PV capacity potential in the Netherlands is 30 GWp, based on PBL (2019) (22 GWp on buildings) and Gasunie 2018 (8 GWp ground based potential). For the period up to 2050, the building sector may cover 66 GWp (50 TWh) of which 41 GWp in the residential sector and 25 GWp in the utility sector. Ground-based potential may amount to 34 GW (Gasunie 2018). Solar PV technology has been coming down rapidly in investment costs and electricity generation cost over the past years, and it is expected that it will continue to reduce further. 
The full-load hours are averaged over the lifetime. An annual efficiency degeneration of 0.64% makes that full-load hours for South-oriented systems decrease from 990 kWh/kWp in year 1 to 849 kWh/kWp in year 25 (rounded average: 920 kWh/kWp). For East/West-oriented systems, the reduction goes from 890 kWh/kWp in year 1 to 763 kWh/kWp in year 25 (rounded average: 820 kWh/kWp). The conversion efficiency improvement that is expected results in smaller modules for similar capacity ranges, which is one of the drivers for cost reduction.</t>
  </si>
  <si>
    <t>COSTS</t>
  </si>
  <si>
    <t xml:space="preserve">Reference year: €2015 - If amounts are expresed in other currencies or in euros of another year (e.g. €2014), the amount has to be converted. See conversion method in 'READ ME' tab. Costs are per unit of output. </t>
  </si>
  <si>
    <t xml:space="preserve">mln. € / </t>
  </si>
  <si>
    <t>PBL 2018/2019</t>
  </si>
  <si>
    <t>PBL 2018/2019, FhG-ISE 2015</t>
  </si>
  <si>
    <t>Other costs per year</t>
  </si>
  <si>
    <t>Fixed operational costs per year (excl. fuel costs)</t>
  </si>
  <si>
    <t>Variable costs per year (exc. Fuel costs)</t>
  </si>
  <si>
    <t>Costs explanation</t>
  </si>
  <si>
    <t>The investment costs are taken from public reports (PBL, 2018 and PBL, 2019). These studies aggregate multiple information sources and various checks are performed with market data. The range results from the cost estimates that are defined in seasonal intervals. 
Future costs were estimated by applying the projected cost decrease as reported in FhG-ISE (2015), albeit with a newly calibrated starting point for the year 2020, for which detailed estimates exist from SDE++ (2019). For comparison purposes: the widest investment cost range according to this report is 757-892 €2014/kWp in 2020 to 278-606 €2014/kWp by 2050. The fixed operational costs reported are taken from SDE++ 2020 (2019) and cover the O&amp;M, metering, insurance and taxes (time-dependent, correlated to investment cost development), connection costs. 
Under 'Other costs' some of the  cost components missing in the SDE+ were added: costs for societal support, asset management and land or roof lease (these three cost components are not considered in SDE+, which is a result of the chosen system boundaries of the scheme). 
All information is based on publicly available data.</t>
  </si>
  <si>
    <t xml:space="preserve">Values expressed as a ratio per unit of main output. Inputs  as positive and outputs as negative. </t>
  </si>
  <si>
    <t>Energy carrier</t>
  </si>
  <si>
    <t>Energy carriers (per unit of main output)</t>
  </si>
  <si>
    <t>Electricity</t>
  </si>
  <si>
    <t>Solar energy</t>
  </si>
  <si>
    <t>Energy in- and Outputs explanation</t>
  </si>
  <si>
    <t>Solar in = 1 and electricity out = -1.</t>
  </si>
  <si>
    <t>MATERIAL FLOWS (OPTIONAL)</t>
  </si>
  <si>
    <t>Material flows</t>
  </si>
  <si>
    <t>Material</t>
  </si>
  <si>
    <t>Material flows explanation</t>
  </si>
  <si>
    <t>Explain here</t>
  </si>
  <si>
    <t>EMISSIONS (Non-fuel/energy-related emissions or emissions reductions (e.g. CCS)</t>
  </si>
  <si>
    <t>Substance</t>
  </si>
  <si>
    <t>Emissions explanation</t>
  </si>
  <si>
    <t>Explain here (e.g. emission factors if calculated)</t>
  </si>
  <si>
    <t>OTHER</t>
  </si>
  <si>
    <t>Specify below the other relevant parameters for the specific technology</t>
  </si>
  <si>
    <t>Add here</t>
  </si>
  <si>
    <t>CBS (2018). Hernieuwbare energie in Nederland 2017, oktober 2018 https://www.cbs.nl/nl-nl/publicatie/2018/40/hernieuwbare-energie-in-nederland-2017</t>
  </si>
  <si>
    <t>FhG-ISE (2015). Current and Future Cost of Photovoltaics Long-term Scenarios for Market Development, System Prices and LCOE of Utility-Scale PV Systems, Fraunhofer-Institute for Solar Energy Systems (ISE), Johannes N. Mayer et al. (2015) https://www.ise.fraunhofer.de/content/dam/ise/de/documents/publications/studies/AgoraEnergiewende_Current_and_Future_Cost_of_PV_Feb2015_web.pdf</t>
  </si>
  <si>
    <t>Gasunie (2018). Verkenning 2050.</t>
  </si>
  <si>
    <t>PBL (2014). Het potentieel van zonnestroom in de gebouwde omgeving van Nederland. https://www.pbl.nl/publicaties/het-potentieel-van-zonnestroom-in-de-gebouwde-omgeving-van-nederland</t>
  </si>
  <si>
    <t>PBL (2018). Eindadvies Basisbedragen SDE+ 2019, december 2018, Sander Lensink (editor), https://www.pbl.nl/publicaties/eindadvies-basisbedragen-sde-2019</t>
  </si>
  <si>
    <t>PBL (2019). Conceptadvies basisbedragen SDE+ 2020, april 2019, https://www.pbl.nl/publicaties/conceptadvies-zonne-energie-sde-2020</t>
  </si>
  <si>
    <t>Others</t>
  </si>
  <si>
    <t>Add other sources here</t>
  </si>
  <si>
    <t>TECHNOLOGY FACTSHEET</t>
  </si>
  <si>
    <t>SOLAR PV, ROOFTOP &gt; 1 MWp, ORIENTED SOUTH</t>
  </si>
  <si>
    <t>Author</t>
  </si>
  <si>
    <t>Luuk Beurskens</t>
  </si>
  <si>
    <t>Value and Range</t>
  </si>
  <si>
    <t>Min</t>
  </si>
  <si>
    <t>-</t>
  </si>
  <si>
    <t>Max</t>
  </si>
  <si>
    <t>Current</t>
  </si>
  <si>
    <t>−</t>
  </si>
  <si>
    <t>Capacity utlization factor</t>
  </si>
  <si>
    <t>Euro per Functional Unit</t>
  </si>
  <si>
    <t xml:space="preserve">Fixed operational costs per year               (excl. fuel costs) </t>
  </si>
  <si>
    <t>Variable costs per year</t>
  </si>
  <si>
    <t>Main output:</t>
  </si>
  <si>
    <t xml:space="preserve"> </t>
  </si>
  <si>
    <t>Sectors:</t>
  </si>
  <si>
    <t>Type of Technology:</t>
  </si>
  <si>
    <t>Functional Units Capacity:</t>
  </si>
  <si>
    <t>Functional Units Activity:</t>
  </si>
  <si>
    <t xml:space="preserve">Energy carriers: </t>
  </si>
  <si>
    <t>Energy Carriers Units:</t>
  </si>
  <si>
    <t>Material flows:</t>
  </si>
  <si>
    <t>Emissions:</t>
  </si>
  <si>
    <t>Emissions Units:</t>
  </si>
  <si>
    <t>Please select main output here</t>
  </si>
  <si>
    <t>ETS</t>
  </si>
  <si>
    <t>Agriculture: Horticulture</t>
  </si>
  <si>
    <t>Biomass</t>
  </si>
  <si>
    <t>Bln vehicle - km/year</t>
  </si>
  <si>
    <t>Ambient heat</t>
  </si>
  <si>
    <t>CH4</t>
  </si>
  <si>
    <t>Agriculture: Other</t>
  </si>
  <si>
    <t>CCS</t>
  </si>
  <si>
    <t>Biobenzine</t>
  </si>
  <si>
    <t>Add here -&gt;</t>
  </si>
  <si>
    <t>CO2</t>
  </si>
  <si>
    <t>Electricity generation</t>
  </si>
  <si>
    <t>Emission reduction</t>
  </si>
  <si>
    <t>kton/year</t>
  </si>
  <si>
    <t>Biodiesel</t>
  </si>
  <si>
    <t>F-gassen</t>
  </si>
  <si>
    <t>Mton CO2-eq</t>
  </si>
  <si>
    <t>Gas supply</t>
  </si>
  <si>
    <t>Energy saving</t>
  </si>
  <si>
    <t>Mton/year</t>
  </si>
  <si>
    <t>Biofuels</t>
  </si>
  <si>
    <t>N2O</t>
  </si>
  <si>
    <t>Yes</t>
  </si>
  <si>
    <t>Households</t>
  </si>
  <si>
    <t>Mton ethene/year</t>
  </si>
  <si>
    <t>Biofuels FT</t>
  </si>
  <si>
    <t>Fijn stof PM10</t>
  </si>
  <si>
    <t>No</t>
  </si>
  <si>
    <t>Hydrogen</t>
  </si>
  <si>
    <t>CHP</t>
  </si>
  <si>
    <t>Mton NH3/year</t>
  </si>
  <si>
    <t>Biogas</t>
  </si>
  <si>
    <t>Fijn stof PM2,5</t>
  </si>
  <si>
    <t>Industry: Anorganic chemics</t>
  </si>
  <si>
    <t>Network</t>
  </si>
  <si>
    <t>Mton steel/year</t>
  </si>
  <si>
    <t>Bio-LPG</t>
  </si>
  <si>
    <t>SO2</t>
  </si>
  <si>
    <t>Please select the region</t>
  </si>
  <si>
    <t>Industry: Chemics</t>
  </si>
  <si>
    <t>Storage</t>
  </si>
  <si>
    <t>MWp</t>
  </si>
  <si>
    <t>Biomass (coferment)</t>
  </si>
  <si>
    <t>NH3</t>
  </si>
  <si>
    <t>Industry: Construction</t>
  </si>
  <si>
    <t xml:space="preserve">Electrolysis </t>
  </si>
  <si>
    <t>Biomass (GFT &amp; VGI)</t>
  </si>
  <si>
    <t>NMVOS</t>
  </si>
  <si>
    <t>EU</t>
  </si>
  <si>
    <t>Industry: Fertiliser</t>
  </si>
  <si>
    <t>MWth</t>
  </si>
  <si>
    <t>Biomass (high quality)</t>
  </si>
  <si>
    <t>NOx</t>
  </si>
  <si>
    <t>Global</t>
  </si>
  <si>
    <t>Industry: Generic</t>
  </si>
  <si>
    <t>Biomass (manure)</t>
  </si>
  <si>
    <t>Industry: Iron and steel</t>
  </si>
  <si>
    <t>Biomass (starch)</t>
  </si>
  <si>
    <t>Industry: Non ETS</t>
  </si>
  <si>
    <t>Biomass (sugars)</t>
  </si>
  <si>
    <t>Industry: Petrochemics</t>
  </si>
  <si>
    <t>Biomass (waste biogenic)</t>
  </si>
  <si>
    <t>Mobile machinery</t>
  </si>
  <si>
    <t>Biomass (wet streams)</t>
  </si>
  <si>
    <t>Refineries</t>
  </si>
  <si>
    <t>Biomass (wood abroad)</t>
  </si>
  <si>
    <t>Trade, services and utilities</t>
  </si>
  <si>
    <t>Biomass (wood interior)</t>
  </si>
  <si>
    <t>Transport</t>
  </si>
  <si>
    <t>Biomass (wood)</t>
  </si>
  <si>
    <t>Bio-waste gases</t>
  </si>
  <si>
    <t>Blast furnace gas</t>
  </si>
  <si>
    <t>CCF gas</t>
  </si>
  <si>
    <t>Chemical residual gas</t>
  </si>
  <si>
    <t>Coal</t>
  </si>
  <si>
    <t>Coke</t>
  </si>
  <si>
    <t>Coke oven gas</t>
  </si>
  <si>
    <t>Coking coal</t>
  </si>
  <si>
    <t>Diesel</t>
  </si>
  <si>
    <t>Energy content manure</t>
  </si>
  <si>
    <t>Fermentation gas</t>
  </si>
  <si>
    <t>Gasoline</t>
  </si>
  <si>
    <t>Geothermal heat</t>
  </si>
  <si>
    <t>Heat</t>
  </si>
  <si>
    <t>Heavy fuel oil</t>
  </si>
  <si>
    <t>Import electricity</t>
  </si>
  <si>
    <t>Injection coal</t>
  </si>
  <si>
    <t>LPG</t>
  </si>
  <si>
    <t>Natural gas</t>
  </si>
  <si>
    <t>Natural gas feedstock</t>
  </si>
  <si>
    <t>Oil</t>
  </si>
  <si>
    <t>Oil excluding gases</t>
  </si>
  <si>
    <t>Oil raw materials</t>
  </si>
  <si>
    <t>Other bio-oil products</t>
  </si>
  <si>
    <t>Other oil products</t>
  </si>
  <si>
    <t>Residual gases</t>
  </si>
  <si>
    <t>Synthetic fuels</t>
  </si>
  <si>
    <t>Uranium</t>
  </si>
  <si>
    <t>Waste (non-biogenic)</t>
  </si>
  <si>
    <t>Wind energy</t>
  </si>
  <si>
    <t>Benzine</t>
  </si>
  <si>
    <t>Bio-ethanol</t>
  </si>
  <si>
    <t>Coal excluding gases</t>
  </si>
  <si>
    <t>Electricity import</t>
  </si>
  <si>
    <t>Fuel oil</t>
  </si>
  <si>
    <t>High Pressure Steam</t>
  </si>
  <si>
    <t>Hydro</t>
  </si>
  <si>
    <t>Kerosene</t>
  </si>
  <si>
    <t>Oil feedstock</t>
  </si>
  <si>
    <t>Oil products</t>
  </si>
  <si>
    <t>Other gases</t>
  </si>
  <si>
    <t>Propane</t>
  </si>
  <si>
    <t>SNG</t>
  </si>
  <si>
    <t>Steam</t>
  </si>
  <si>
    <t>ADD CALCULATIONS AND OTHER REFERENCES HERE (OPTIONAL)</t>
  </si>
  <si>
    <r>
      <t xml:space="preserve">Please note that the information placed here will </t>
    </r>
    <r>
      <rPr>
        <i/>
        <u/>
        <sz val="12"/>
        <color rgb="FFFF0000"/>
        <rFont val="Calibri"/>
        <family val="2"/>
        <scheme val="minor"/>
      </rPr>
      <t>not</t>
    </r>
    <r>
      <rPr>
        <i/>
        <sz val="12"/>
        <color rgb="FFFF0000"/>
        <rFont val="Calibri"/>
        <family val="2"/>
        <scheme val="minor"/>
      </rPr>
      <t xml:space="preserve"> be included in the Technology Factsheet for disclosure, therefore all relevant details and sources used must be specified in the 'Data input' tab.</t>
    </r>
  </si>
  <si>
    <t>Bijgeplaatst</t>
  </si>
  <si>
    <t>Cumulatief</t>
  </si>
  <si>
    <t>Afgerond</t>
  </si>
  <si>
    <t>Counting pixels</t>
  </si>
  <si>
    <t>y-axis</t>
  </si>
  <si>
    <t>equals</t>
  </si>
  <si>
    <t>pixels</t>
  </si>
  <si>
    <t>PV height (middle green bar:</t>
  </si>
  <si>
    <t>PV equals</t>
  </si>
  <si>
    <t>TWh</t>
  </si>
  <si>
    <t>PV FLH:</t>
  </si>
  <si>
    <t>h/a</t>
  </si>
  <si>
    <t>GWp</t>
  </si>
  <si>
    <t>PBL variant 'Ontwerp Klimaatakkoord'</t>
  </si>
  <si>
    <t>Oppervlakteverschil zuid versus oost-west</t>
  </si>
  <si>
    <t>Wat levert een Zonneweide per ha op? ACRRES - Wageningen UR, maart 2015 - PPO 642</t>
  </si>
  <si>
    <t>URL:</t>
  </si>
  <si>
    <t>http://edepot.wur.nl/336567</t>
  </si>
  <si>
    <t>Met een vaste opstelling kan ongeveer 496 kWp per ha worden geïnstalleerd en met een van der Valk solar-tracker ongeveer 243 kWp</t>
  </si>
  <si>
    <t>https://www.cbs.nl/nl-nl/nieuws/2019/09/vooral-meer-groene-stroom-uit-zon</t>
  </si>
  <si>
    <t>Zuid:</t>
  </si>
  <si>
    <t>kWp/ha</t>
  </si>
  <si>
    <t>Update na gesprek met Jasper (DNV-GL)</t>
  </si>
  <si>
    <t>PBL 2014</t>
  </si>
  <si>
    <t>Oost-west opstelling zonneparken</t>
  </si>
  <si>
    <t>Gesprek met Jasper dd 27 juni 2019:</t>
  </si>
  <si>
    <t>https://www.groenleven.nl/oost-west-opstelling</t>
  </si>
  <si>
    <t>Zuid: 1 MWp/ha</t>
  </si>
  <si>
    <t>Oost-west: minimaal 92% van de oppervlakte wordt benut (tegen 54% op het zuiden)</t>
  </si>
  <si>
    <t>Oost-west: 1.2 MWp/ha</t>
  </si>
  <si>
    <t>Oost-west:</t>
  </si>
  <si>
    <t>De cijfers die ik vond zijn dus wat oud.</t>
  </si>
  <si>
    <t>Berekend</t>
  </si>
  <si>
    <t>Geen aanpassing maken in kosten constructie voor oost-west versus zuid</t>
  </si>
  <si>
    <t>Zuidopstelling</t>
  </si>
  <si>
    <t>Oost-westopstelling</t>
  </si>
  <si>
    <t>Zonvolgend</t>
  </si>
  <si>
    <t xml:space="preserve">Argumenten vóór oost-west: </t>
  </si>
  <si>
    <t>• minimaal 92% van de oppervlakte wordt benut (tegen 54% op het zuiden);</t>
  </si>
  <si>
    <t>• het systeem is veel lager (50 – 80 cm) dan installaties op het zuiden gericht;</t>
  </si>
  <si>
    <t>• de installatie is onopvallend aanwezig in het landschap, met streekeigen beplanting eenvoudig aan het oog te onttrekken;</t>
  </si>
  <si>
    <t>• lichte constructie, relatief eenvoudig te beveiligen en niet gevoelig voor wind, goed bereikbaar en beheersbaar in onderhoud;</t>
  </si>
  <si>
    <t>• betere spreiding stroomopbrengst over de dag, lagere pieken, dus goedkopere aansluiting en daarmee toekomst-proof voor het elektriciteitsnetwerk;</t>
  </si>
  <si>
    <t>• geen zware fundering en/of graafwerk in de bodem (archeologie).</t>
  </si>
  <si>
    <t>Op basis hiervan mogen constructiekosten lager zijn!</t>
  </si>
  <si>
    <t>Jasper: Geen aanpassing maken in kosten constructie voor oost-west versus zuid</t>
  </si>
  <si>
    <t>PROJECTIONS</t>
  </si>
  <si>
    <t>Properties</t>
  </si>
  <si>
    <t>Investment</t>
  </si>
  <si>
    <t>O&amp;M</t>
  </si>
  <si>
    <t>kWp</t>
  </si>
  <si>
    <t>Inclination</t>
  </si>
  <si>
    <t>EUR/kWp</t>
  </si>
  <si>
    <t>EUR/kWp/year</t>
  </si>
  <si>
    <t>Household rooftop systems</t>
  </si>
  <si>
    <t>Sloped of flat</t>
  </si>
  <si>
    <t>JDO</t>
  </si>
  <si>
    <t>Large rooftop systems</t>
  </si>
  <si>
    <t>Flat</t>
  </si>
  <si>
    <t>Multi-MW rooftop systems</t>
  </si>
  <si>
    <t>Multi-MW solar PV fields</t>
  </si>
  <si>
    <t>Total</t>
  </si>
  <si>
    <t>In een rapport van Fraunhofer ISE (Current and Future, Cost of Photovoltaics: https://www.ise.fraunhofer.de/content/dam/ise/de/documents/publications/studies/AgoraEnergiewende_Current_and_Future_Cost_of_PV_Feb2015_web.pdf) vind ik onderstaande tabel. Het lijkt erop dat onze gegevens goed in lijn zijn daarmee.</t>
  </si>
  <si>
    <r>
      <t>Misschien is 500 EUR/kWp voor PV in 2030 wat te laag, en is 550 EUR/kWp beter, of zelfs nog iets conservatiever: 600 EUR/kWp.</t>
    </r>
    <r>
      <rPr>
        <sz val="11"/>
        <color theme="1"/>
        <rFont val="Calibri"/>
        <family val="2"/>
        <scheme val="minor"/>
      </rPr>
      <t xml:space="preserve"> Zie de tabel uit bovengenoemd rapport hieronder.</t>
    </r>
  </si>
  <si>
    <t>Kosten info moet allemaal in EUR 2015!</t>
  </si>
  <si>
    <t xml:space="preserve">A standard method to correct for inflation is to use the Harmonised Index of Consumer Prices (HICP) (see below). To convert an amount expressed in €2014 to €2017, it has to be multiplied by a factor (HICP 2017/ HICP 2014) = (101,40/99,79) = 1,016. </t>
  </si>
  <si>
    <t>Kalibratie op 2020</t>
  </si>
  <si>
    <t>Scenario 1</t>
  </si>
  <si>
    <t>Scenario 2</t>
  </si>
  <si>
    <t>Scenario 3</t>
  </si>
  <si>
    <t>2019 [estimate]</t>
  </si>
  <si>
    <t>Scenario 4</t>
  </si>
  <si>
    <t>UPDATE JUNE 2019 door LB</t>
  </si>
  <si>
    <t>Range</t>
  </si>
  <si>
    <t>SDE peiljaren:</t>
  </si>
  <si>
    <t>Voor systemen onder 1 MWp wordt 2021 als peiljaar voor de systeemkosten gebruikt, voor gebouwgebonden systemen ≥1 MWp is het peiljaar 2022</t>
  </si>
  <si>
    <t>en voor grondgebonden en drijvende systemen ≥1 MWp is dat 2023.</t>
  </si>
  <si>
    <t>&lt; 1 MWp</t>
  </si>
  <si>
    <t>&gt; 1 MWp gebouw</t>
  </si>
  <si>
    <t>&gt; 1 MWp grond en drijvend</t>
  </si>
  <si>
    <t>SDE++ 2020</t>
  </si>
  <si>
    <t>Peiljaar</t>
  </si>
  <si>
    <t>Investeringskosten</t>
  </si>
  <si>
    <t>Min (NJ)</t>
  </si>
  <si>
    <t>Max (VJ)</t>
  </si>
  <si>
    <t>SDE+ 2019</t>
  </si>
  <si>
    <t>Voor figuur</t>
  </si>
  <si>
    <t>SDE++ 2020 (min)</t>
  </si>
  <si>
    <t>SDE++ 2020 (max)</t>
  </si>
  <si>
    <t>SDE++ 2019 (min)</t>
  </si>
  <si>
    <t>SDE++ 2019 (max)</t>
  </si>
  <si>
    <t>Reconstructie vanuit SDE+ rapport</t>
  </si>
  <si>
    <t>2020-2030</t>
  </si>
  <si>
    <t>2030-2050</t>
  </si>
  <si>
    <t>Doublecheck</t>
  </si>
  <si>
    <t>Modules (for 2020 estimate)</t>
  </si>
  <si>
    <t>[EUR/kWp]</t>
  </si>
  <si>
    <t>Factor projection</t>
  </si>
  <si>
    <t>Annual cost reduction rate</t>
  </si>
  <si>
    <t>Inverter (voor 2020 uit SDE+ 2019)</t>
  </si>
  <si>
    <t>&gt; annual</t>
  </si>
  <si>
    <t>Netaansluiting (for 2020 estimate)</t>
  </si>
  <si>
    <t>Schatting voor 2020:</t>
  </si>
  <si>
    <t>Totaal &lt; 15 kWp Min</t>
  </si>
  <si>
    <r>
      <t>[EUR</t>
    </r>
    <r>
      <rPr>
        <b/>
        <sz val="12"/>
        <color rgb="FFFF0000"/>
        <rFont val="Calibri"/>
        <family val="2"/>
        <scheme val="minor"/>
      </rPr>
      <t>2015</t>
    </r>
    <r>
      <rPr>
        <sz val="12"/>
        <color theme="1"/>
        <rFont val="Calibri"/>
        <family val="2"/>
        <scheme val="minor"/>
      </rPr>
      <t>/kWp]</t>
    </r>
  </si>
  <si>
    <t>Totaal &lt; 15 kWp Max</t>
  </si>
  <si>
    <t>Totaal &lt; 1 MWp</t>
  </si>
  <si>
    <t>[EUR2019/kWp]</t>
  </si>
  <si>
    <t>Totaal &gt; 1 MWp dak</t>
  </si>
  <si>
    <t>Totaal &gt; 1 MWp veld</t>
  </si>
  <si>
    <t>Costs for modules, inverter and grid</t>
  </si>
  <si>
    <t>Deze getallen zijn allemaal in EUR 2019</t>
  </si>
  <si>
    <t>Op 14 jun. 2019 om 11:10 heeft Beurskens, L.W.M. (Luuk) &lt;luuk.beurskens@tno.nl&gt; het volgende geschreven:</t>
  </si>
  <si>
    <t>Other costs (total minus modules, inverter and grid)</t>
  </si>
  <si>
    <t>Hallo Jeroen,</t>
  </si>
  <si>
    <t>1 EUR 2019 =</t>
  </si>
  <si>
    <t>EUR 2015</t>
  </si>
  <si>
    <t>Zou je mij kunnen zeggen wat de kosten zijn voor de kleinere PV-systemen waar jij in het kader van het salderingsproject op uitgekomen bent? Het gaat om de range 1 – 100 kWp. Bij voorkeur met een overzicht van de gebruikte bronnen.</t>
  </si>
  <si>
    <t>Dit zijn data voor 2020. Tussen 2020 en 2030 veronderstellen we een daling van 2,5% per jaar onafhankelijk van de grootte.</t>
  </si>
  <si>
    <r>
      <t xml:space="preserve">Na 2030 weet ik niet </t>
    </r>
    <r>
      <rPr>
        <sz val="12"/>
        <color rgb="FF000000"/>
        <rFont val="Segoe UI Emoji"/>
        <family val="2"/>
      </rPr>
      <t>😊</t>
    </r>
  </si>
  <si>
    <t>EUR2019/kWp</t>
  </si>
  <si>
    <t>voor 5 kWp systeem</t>
  </si>
  <si>
    <t>indicatief</t>
  </si>
  <si>
    <t>min</t>
  </si>
  <si>
    <t>max</t>
  </si>
  <si>
    <t>Advies SDE+ Najaar 2018, Zon-PV, Luuk Beurskens (ECN part of TNO) Jasper Lemmens (DNV GL), 6 juli 2018</t>
  </si>
  <si>
    <t>Operational expenses</t>
  </si>
  <si>
    <t>http://www.pbl.nl/sites/default/files/cms/publicaties/pbl-2018-notitie_advies_najaar-sde-plus-2018-zon-PV_3311.pdf</t>
  </si>
  <si>
    <t>PBL 2018: Conceptadvies basisbedragen SDE+ 2020, april 2019. https://www.pbl.nl/sde</t>
  </si>
  <si>
    <t xml:space="preserve">Kostenpost </t>
  </si>
  <si>
    <t>≥15 kWp en &lt;1 MWp,</t>
  </si>
  <si>
    <t>≥ 1 MWp,</t>
  </si>
  <si>
    <t>≥ 1 MWp, grondgebonden</t>
  </si>
  <si>
    <t>≥1 MWp,</t>
  </si>
  <si>
    <t>gebouw-,  grondgebonden en drijvend op water</t>
  </si>
  <si>
    <t>gebouwgebonden</t>
  </si>
  <si>
    <t>drijvend op water</t>
  </si>
  <si>
    <t>zonvolgend</t>
  </si>
  <si>
    <t>O&amp;M-kosten</t>
  </si>
  <si>
    <t>Brutoproductiemeter</t>
  </si>
  <si>
    <t>Verzekering</t>
  </si>
  <si>
    <t>Beveiligingsdiensten</t>
  </si>
  <si>
    <t>Jaarlijkse netwerkaansluitingskosten</t>
  </si>
  <si>
    <t>OZB Percentage:</t>
  </si>
  <si>
    <r>
      <t xml:space="preserve">OZB, indicatief: 0,4% van systeemkosten </t>
    </r>
    <r>
      <rPr>
        <sz val="8"/>
        <color rgb="FFFF0000"/>
        <rFont val="Verdana"/>
        <family val="2"/>
      </rPr>
      <t>2020</t>
    </r>
  </si>
  <si>
    <r>
      <t xml:space="preserve">OZB, indicatief: 0,4% van systeemkosten </t>
    </r>
    <r>
      <rPr>
        <sz val="8"/>
        <color rgb="FFFF0000"/>
        <rFont val="Verdana"/>
        <family val="2"/>
      </rPr>
      <t>2030</t>
    </r>
  </si>
  <si>
    <r>
      <t xml:space="preserve">OZB, indicatief: 0,4% van systeemkosten </t>
    </r>
    <r>
      <rPr>
        <sz val="8"/>
        <color rgb="FFFF0000"/>
        <rFont val="Verdana"/>
        <family val="2"/>
      </rPr>
      <t>2050</t>
    </r>
  </si>
  <si>
    <t>Extra</t>
  </si>
  <si>
    <t>componenten:</t>
  </si>
  <si>
    <t>Sociaal draagvlak</t>
  </si>
  <si>
    <t>Conversie per hectare naar per kWp:</t>
  </si>
  <si>
    <t>Asset management</t>
  </si>
  <si>
    <r>
      <t xml:space="preserve">Grond-/dakkosten </t>
    </r>
    <r>
      <rPr>
        <b/>
        <sz val="12"/>
        <color theme="1"/>
        <rFont val="Calibri"/>
        <family val="2"/>
        <scheme val="minor"/>
      </rPr>
      <t>zuid</t>
    </r>
  </si>
  <si>
    <t>(ongeveer 5000 euro per hectare)</t>
  </si>
  <si>
    <r>
      <t xml:space="preserve">Grond-/dakkosten </t>
    </r>
    <r>
      <rPr>
        <b/>
        <sz val="12"/>
        <color theme="1"/>
        <rFont val="Calibri"/>
        <family val="2"/>
        <scheme val="minor"/>
      </rPr>
      <t>oost-west</t>
    </r>
  </si>
  <si>
    <t>EUR2019</t>
  </si>
  <si>
    <r>
      <t xml:space="preserve">Totaal SDE+ </t>
    </r>
    <r>
      <rPr>
        <b/>
        <sz val="8"/>
        <color rgb="FFFF0000"/>
        <rFont val="Verdana"/>
        <family val="2"/>
      </rPr>
      <t xml:space="preserve">2020 </t>
    </r>
  </si>
  <si>
    <t>Kosten links gelden voor zuidorientatie</t>
  </si>
  <si>
    <r>
      <t xml:space="preserve">Totaal SDE+ </t>
    </r>
    <r>
      <rPr>
        <b/>
        <sz val="8"/>
        <color rgb="FFFF0000"/>
        <rFont val="Verdana"/>
        <family val="2"/>
      </rPr>
      <t xml:space="preserve">2030 </t>
    </r>
  </si>
  <si>
    <t>Kosten rechts voor oost-west (uets efficienter qua landgebruik)</t>
  </si>
  <si>
    <r>
      <t xml:space="preserve">Totaal SDE+ </t>
    </r>
    <r>
      <rPr>
        <b/>
        <sz val="8"/>
        <color rgb="FFFF0000"/>
        <rFont val="Verdana"/>
        <family val="2"/>
      </rPr>
      <t xml:space="preserve">2050 </t>
    </r>
  </si>
  <si>
    <t>EUR2015</t>
  </si>
  <si>
    <t>EUR2015/kWp</t>
  </si>
  <si>
    <t>ZUID</t>
  </si>
  <si>
    <t>OOST-WEST</t>
  </si>
  <si>
    <t>please add here : typical size, number of invertors, typical angle, orientation, typical base (roof/ field), ....</t>
  </si>
  <si>
    <t>LB: aantal inverters is lastig want je hebt verschillende concepten: grote centrale inverters of kleinere. Dit benoem ik niet, wel aantal modules obv mainstream 270 Wp module</t>
  </si>
  <si>
    <t>An inventory of potentials</t>
  </si>
  <si>
    <t>Referentie</t>
  </si>
  <si>
    <t>Aantal</t>
  </si>
  <si>
    <t>Elektriciteitsopbrengst</t>
  </si>
  <si>
    <t xml:space="preserve">Vermogen </t>
  </si>
  <si>
    <t>modules</t>
  </si>
  <si>
    <t>Base</t>
  </si>
  <si>
    <t>Orientation</t>
  </si>
  <si>
    <t>Angle</t>
  </si>
  <si>
    <t>In één zin:</t>
  </si>
  <si>
    <t>Source</t>
  </si>
  <si>
    <t>[kWp]</t>
  </si>
  <si>
    <t>[-]</t>
  </si>
  <si>
    <t>Power</t>
  </si>
  <si>
    <t>0 - 15 kWp</t>
  </si>
  <si>
    <t>Woningen 41 GWp in 2050</t>
  </si>
  <si>
    <t>PBL 2019, aaname</t>
  </si>
  <si>
    <t>rooftop</t>
  </si>
  <si>
    <t>South-facing</t>
  </si>
  <si>
    <t>fixed tilt, inclined</t>
  </si>
  <si>
    <t>FLH</t>
  </si>
  <si>
    <t>h/yr</t>
  </si>
  <si>
    <t>15 - 1000 kWp</t>
  </si>
  <si>
    <t>Utiliteit 2050: 25 GWp, verdeeld over 15-1000 kWp en &gt;1MWp dak</t>
  </si>
  <si>
    <t>MWh/yr</t>
  </si>
  <si>
    <t>&gt; 1 MWp rooftop</t>
  </si>
  <si>
    <t>1 MWh =</t>
  </si>
  <si>
    <t>&gt; 1 MWp ground</t>
  </si>
  <si>
    <t>Ground: 8 GWp in 2030 and 34 GW in 2050, assumption 2030: 6 GW ground, 2 GW water and 2050: 24 GW ground, 10 GW water</t>
  </si>
  <si>
    <t>Gasunie 2018, anname</t>
  </si>
  <si>
    <t>ground based</t>
  </si>
  <si>
    <t>PJ/yr</t>
  </si>
  <si>
    <t>&gt; 1 MWp water</t>
  </si>
  <si>
    <t>Aanname</t>
  </si>
  <si>
    <t>Paneelgrootte:</t>
  </si>
  <si>
    <t>kWp/paneel</t>
  </si>
  <si>
    <r>
      <t>From:</t>
    </r>
    <r>
      <rPr>
        <sz val="11"/>
        <color theme="1"/>
        <rFont val="Calibri"/>
        <family val="2"/>
        <scheme val="minor"/>
      </rPr>
      <t xml:space="preserve"> Daey Ouwens, J. (Jeroen)</t>
    </r>
  </si>
  <si>
    <r>
      <t>Sent:</t>
    </r>
    <r>
      <rPr>
        <sz val="11"/>
        <color theme="1"/>
        <rFont val="Calibri"/>
        <family val="2"/>
        <scheme val="minor"/>
      </rPr>
      <t xml:space="preserve"> vrijdag 14 juni 2019 13:44</t>
    </r>
  </si>
  <si>
    <r>
      <t>To:</t>
    </r>
    <r>
      <rPr>
        <sz val="11"/>
        <color theme="1"/>
        <rFont val="Calibri"/>
        <family val="2"/>
        <scheme val="minor"/>
      </rPr>
      <t xml:space="preserve"> Beurskens, L.W.M. (Luuk) &lt;luuk.beurskens@tno.nl&gt;</t>
    </r>
  </si>
  <si>
    <r>
      <t>Subject:</t>
    </r>
    <r>
      <rPr>
        <sz val="11"/>
        <color theme="1"/>
        <rFont val="Calibri"/>
        <family val="2"/>
        <scheme val="minor"/>
      </rPr>
      <t xml:space="preserve"> Re: Vraag: kosten voor kleinere PV-systemen</t>
    </r>
  </si>
  <si>
    <t>kW</t>
  </si>
  <si>
    <t>€/kW</t>
  </si>
  <si>
    <t>CBS</t>
  </si>
  <si>
    <r>
      <t>Van:</t>
    </r>
    <r>
      <rPr>
        <sz val="11"/>
        <color rgb="FF000000"/>
        <rFont val="Calibri"/>
        <family val="2"/>
        <scheme val="minor"/>
      </rPr>
      <t xml:space="preserve"> Beurskens, L.W.M. (Luuk)</t>
    </r>
  </si>
  <si>
    <r>
      <t>Verzonden:</t>
    </r>
    <r>
      <rPr>
        <sz val="11"/>
        <color rgb="FF000000"/>
        <rFont val="Calibri"/>
        <family val="2"/>
        <scheme val="minor"/>
      </rPr>
      <t xml:space="preserve"> vrijdag 14 juni 2019 12:16:28</t>
    </r>
  </si>
  <si>
    <r>
      <t>Aan:</t>
    </r>
    <r>
      <rPr>
        <sz val="11"/>
        <color rgb="FF000000"/>
        <rFont val="Calibri"/>
        <family val="2"/>
        <scheme val="minor"/>
      </rPr>
      <t xml:space="preserve"> Daey Ouwens, J. (Jeroen)</t>
    </r>
  </si>
  <si>
    <r>
      <t>Onderwerp:</t>
    </r>
    <r>
      <rPr>
        <sz val="11"/>
        <color rgb="FF000000"/>
        <rFont val="Calibri"/>
        <family val="2"/>
        <scheme val="minor"/>
      </rPr>
      <t xml:space="preserve"> RE: Vraag: kosten voor kleinere PV-systemen</t>
    </r>
    <r>
      <rPr>
        <sz val="11"/>
        <color theme="1"/>
        <rFont val="Calibri"/>
        <family val="2"/>
        <scheme val="minor"/>
      </rPr>
      <t xml:space="preserve"> </t>
    </r>
  </si>
  <si>
    <t>Goede vraag!</t>
  </si>
  <si>
    <t>Mijn focus is op 2020, 2030 en 2050.</t>
  </si>
  <si>
    <r>
      <t>Geef ook even aan in welke euro’s te rapporteert, waarschijnlijk EUR</t>
    </r>
    <r>
      <rPr>
        <vertAlign val="subscript"/>
        <sz val="11"/>
        <color theme="1"/>
        <rFont val="Calibri"/>
        <family val="2"/>
        <scheme val="minor"/>
      </rPr>
      <t>2019</t>
    </r>
    <r>
      <rPr>
        <sz val="11"/>
        <color theme="1"/>
        <rFont val="Calibri"/>
        <family val="2"/>
        <scheme val="minor"/>
      </rPr>
      <t>?</t>
    </r>
  </si>
  <si>
    <t>Dank &amp; groet,</t>
  </si>
  <si>
    <t>Luuk</t>
  </si>
  <si>
    <r>
      <t>Sent:</t>
    </r>
    <r>
      <rPr>
        <sz val="11"/>
        <color theme="1"/>
        <rFont val="Calibri"/>
        <family val="2"/>
        <scheme val="minor"/>
      </rPr>
      <t xml:space="preserve"> vrijdag 14 juni 2019 12:13</t>
    </r>
  </si>
  <si>
    <t>To: Beurskens, L.W.M. (Luuk) &lt;luuk.beurskens@tno.nl&gt;</t>
  </si>
  <si>
    <t>Welk jaar?</t>
  </si>
  <si>
    <t>Verstuurd vanaf mijn iPhone</t>
  </si>
  <si>
    <t>Ik moet in het kader van het factsheetdocument over deze vermogensrange rapporteren, vandaar dat ik het je vraag.</t>
  </si>
  <si>
    <t>Alvast bedankt,</t>
  </si>
  <si>
    <t>Energy Transition Studies</t>
  </si>
  <si>
    <t>ECN-TNO</t>
  </si>
  <si>
    <t xml:space="preserve">M 06 50009626  </t>
  </si>
  <si>
    <t>Correctie vollasturen</t>
  </si>
  <si>
    <t xml:space="preserve">Uitkomst gemiddeld jaar 1-15 voor zuidsystemen: </t>
  </si>
  <si>
    <t>Startpunt jaar 1:</t>
  </si>
  <si>
    <t>Afname/jaar &gt;&gt;</t>
  </si>
  <si>
    <t>Doel jaar 1-20</t>
  </si>
  <si>
    <t>Jaar 1</t>
  </si>
  <si>
    <t>Jaar 2</t>
  </si>
  <si>
    <t>Jaar 3</t>
  </si>
  <si>
    <t>Jaar 4</t>
  </si>
  <si>
    <t>Jaar 5</t>
  </si>
  <si>
    <t>Jaar 6</t>
  </si>
  <si>
    <t>Jaar 7</t>
  </si>
  <si>
    <t>Jaar 8</t>
  </si>
  <si>
    <t>Jaar 9</t>
  </si>
  <si>
    <t>Jaar 10</t>
  </si>
  <si>
    <t>Jaar 11</t>
  </si>
  <si>
    <t>Jaar 12</t>
  </si>
  <si>
    <t>Jaar 13</t>
  </si>
  <si>
    <t>Jaar 14</t>
  </si>
  <si>
    <t>Jaar 15</t>
  </si>
  <si>
    <t>Jaar 16</t>
  </si>
  <si>
    <t>Jaar 17</t>
  </si>
  <si>
    <t>Jaar 18</t>
  </si>
  <si>
    <t>Jaar 19</t>
  </si>
  <si>
    <t>Jaar 20</t>
  </si>
  <si>
    <t>Jaar 21</t>
  </si>
  <si>
    <t>Jaar 22</t>
  </si>
  <si>
    <t>Jaar 23</t>
  </si>
  <si>
    <t>Jaar 24</t>
  </si>
  <si>
    <t>Jaar 25</t>
  </si>
  <si>
    <t>kWh/kWp</t>
  </si>
  <si>
    <t>Gemiddeld jaar 1-15:</t>
  </si>
  <si>
    <t>Gemiddeld jaar 1-20:</t>
  </si>
  <si>
    <t>Gemiddeld jaar 1-25:</t>
  </si>
  <si>
    <t>In onderstaande tabel geef ik voor analyseperiodes van 15, 20 en 25 jaar het gemiddeld aantal vollasturen:</t>
  </si>
  <si>
    <t>     Gemiddeld jaar 1-15: 947 kWh/kWp (afgerond: 950 kWh/kWp)</t>
  </si>
  <si>
    <t>     Gemiddeld jaar 1-20: 932 kWh/kWp (afgerond: 935 kWh/kWp)</t>
  </si>
  <si>
    <t>     Gemiddeld jaar 1-25: 918 kWh/kWp (afgerond: 920 kWh/kWp)</t>
  </si>
  <si>
    <t>Voor Oost-west georiënteerde systemen zouden dit dan de vollasturen worden (niet gebruikt in SDE++, startpunt jaar 1: 890 uur/jaar):</t>
  </si>
  <si>
    <t>     Gemiddeld jaar 1-15: 851 kWh/kWp (afgerond: 850 kWh/kWp)</t>
  </si>
  <si>
    <t>     Gemiddeld jaar 1-20: 838 kWh/kWp (afgerond: 840 kWh/kWp)</t>
  </si>
  <si>
    <t>     Gemiddeld jaar 1-25: 825 kWh/kWp (afgerond: 825 kWh/kWp)</t>
  </si>
  <si>
    <t>ADD VISUAL REPRESENTATION OF TECHNOLOGY HERE (OPTIONAL)</t>
  </si>
  <si>
    <t>If available, a visual representation of the technology can be placed here (including sources) to complement the technology description.</t>
  </si>
  <si>
    <t>Please note that the image will be placed in Technology Factsheet to be disclosed, other non-relevant images can be placed in the 'Calculations' tab.</t>
  </si>
  <si>
    <t>Date</t>
  </si>
  <si>
    <t>Parameter</t>
  </si>
  <si>
    <t>Old</t>
  </si>
  <si>
    <t>New</t>
  </si>
  <si>
    <t>Comment</t>
  </si>
  <si>
    <t>Capacity unit</t>
  </si>
  <si>
    <t>In the comments it says 5 MWp</t>
  </si>
  <si>
    <t>Potential unit</t>
  </si>
  <si>
    <t>GW</t>
  </si>
  <si>
    <t>Potential value 2020</t>
  </si>
  <si>
    <t>Potential value 2030</t>
  </si>
  <si>
    <t>Potential value 2050</t>
  </si>
  <si>
    <t>Costs unit</t>
  </si>
  <si>
    <t>mln. € / MW</t>
  </si>
  <si>
    <t>€ / kW</t>
  </si>
  <si>
    <t>Updated also in the Technology Factsheet tab</t>
  </si>
  <si>
    <t>Investments costs 2020</t>
  </si>
  <si>
    <t>Investments costs 2030</t>
  </si>
  <si>
    <t>Investments costs 2050</t>
  </si>
  <si>
    <t>Investment costs min and max values</t>
  </si>
  <si>
    <t>Changed them to kW just in case</t>
  </si>
  <si>
    <t>Other costs per year 2020</t>
  </si>
  <si>
    <t>Other costs per year 2030</t>
  </si>
  <si>
    <t>Other costs per year 2050</t>
  </si>
  <si>
    <t>Operational costs per year 2020</t>
  </si>
  <si>
    <t>Operational costs per year 2030</t>
  </si>
  <si>
    <t>Operational costs per year 2050</t>
  </si>
  <si>
    <t xml:space="preserve">Costs decimals in factsheets </t>
  </si>
  <si>
    <t>The final factsheet tab had too many '0' decimals</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</si>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</sst>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 #,##0.0_ ;_ * \-#,##0.0_ ;_ * &quot;-&quot;??_ ;_ @_ "/>
    <numFmt numFmtId="165" formatCode="_ * #,##0_ ;_ * \-#,##0_ ;_ * &quot;-&quot;??_ ;_ @_ "/>
    <numFmt numFmtId="166" formatCode="_ \ #,##0_ ;_ \ \-#,##0_ ;_ \ &quot;-&quot;??_ ;_ @_ "/>
    <numFmt numFmtId="167" formatCode="_ \ \ \ \ #,##0.00_ ;_ \ \ \ \ \-#,##0.00_ ;_ \ \ \ \ &quot;-&quot;??_ ;_ @_ "/>
    <numFmt numFmtId="168" formatCode="_ \ \ \ \ #,##0_ ;_ \ \ \ \ \-#,##0_ ;_ \ \ \ \ &quot;-&quot;??_ ;_ @_ "/>
    <numFmt numFmtId="169" formatCode="0.0"/>
    <numFmt numFmtId="170" formatCode="_ * #,##0.0000_ ;_ * \-#,##0.0000_ ;_ * &quot;-&quot;??_ ;_ @_ "/>
    <numFmt numFmtId="171" formatCode="_ * #,##0.00000_ ;_ * \-#,##0.00000_ ;_ * &quot;-&quot;??_ ;_ @_ "/>
    <numFmt numFmtId="172" formatCode="0.0%"/>
    <numFmt numFmtId="173" formatCode="_ * #,##0.000_ ;_ * \-#,##0.000_ ;_ * &quot;-&quot;??_ ;_ @_ "/>
    <numFmt numFmtId="174" formatCode="0.000000"/>
  </numFmts>
  <fonts count="6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vertAlign val="subscript"/>
      <sz val="12"/>
      <color theme="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sz val="11"/>
      <color theme="0"/>
      <name val="Calibri"/>
      <family val="2"/>
      <scheme val="minor"/>
    </font>
    <font>
      <b/>
      <sz val="12"/>
      <name val="Calibri"/>
      <family val="2"/>
      <scheme val="minor"/>
    </font>
    <font>
      <sz val="14"/>
      <name val="Calibri"/>
      <family val="2"/>
      <scheme val="minor"/>
    </font>
    <font>
      <i/>
      <sz val="10"/>
      <color rgb="FFFF0000"/>
      <name val="Calibri"/>
      <family val="2"/>
    </font>
    <font>
      <i/>
      <sz val="12"/>
      <name val="Calibri"/>
      <family val="2"/>
      <scheme val="minor"/>
    </font>
    <font>
      <sz val="8"/>
      <color rgb="FF000000"/>
      <name val="Arial"/>
      <family val="2"/>
    </font>
    <font>
      <sz val="8"/>
      <color rgb="FF333333"/>
      <name val="Arial"/>
      <family val="2"/>
    </font>
    <font>
      <b/>
      <i/>
      <sz val="12"/>
      <color theme="1"/>
      <name val="Calibri"/>
      <family val="2"/>
      <scheme val="minor"/>
    </font>
    <font>
      <b/>
      <i/>
      <u/>
      <sz val="12"/>
      <color theme="1"/>
      <name val="Calibri"/>
      <family val="2"/>
      <scheme val="minor"/>
    </font>
    <font>
      <i/>
      <u/>
      <sz val="12"/>
      <color rgb="FFFF0000"/>
      <name val="Calibri"/>
      <family val="2"/>
      <scheme val="minor"/>
    </font>
    <font>
      <b/>
      <sz val="12"/>
      <color rgb="FFFF0000"/>
      <name val="Calibri"/>
      <family val="2"/>
      <scheme val="minor"/>
    </font>
    <font>
      <b/>
      <sz val="8"/>
      <color rgb="FFFFFFFF"/>
      <name val="Verdana"/>
      <family val="2"/>
    </font>
    <font>
      <sz val="8"/>
      <color theme="1"/>
      <name val="Verdana"/>
      <family val="2"/>
    </font>
    <font>
      <b/>
      <sz val="8"/>
      <color theme="1"/>
      <name val="Verdana"/>
      <family val="2"/>
    </font>
    <font>
      <sz val="8"/>
      <color rgb="FFFF0000"/>
      <name val="Verdana"/>
      <family val="2"/>
    </font>
    <font>
      <b/>
      <sz val="8"/>
      <color rgb="FFFF0000"/>
      <name val="Verdana"/>
      <family val="2"/>
    </font>
    <font>
      <b/>
      <sz val="8"/>
      <color theme="0" tint="-0.14999847407452621"/>
      <name val="Verdana"/>
      <family val="2"/>
    </font>
    <font>
      <sz val="12"/>
      <color rgb="FF000000"/>
      <name val="Segoe UI Emoji"/>
      <family val="2"/>
    </font>
    <font>
      <b/>
      <sz val="11"/>
      <color rgb="FF000000"/>
      <name val="Calibri"/>
      <family val="2"/>
      <scheme val="minor"/>
    </font>
    <font>
      <sz val="11"/>
      <color rgb="FF000000"/>
      <name val="Calibri"/>
      <family val="2"/>
      <scheme val="minor"/>
    </font>
    <font>
      <vertAlign val="subscript"/>
      <sz val="11"/>
      <color theme="1"/>
      <name val="Calibri"/>
      <family val="2"/>
      <scheme val="minor"/>
    </font>
    <font>
      <b/>
      <sz val="16"/>
      <color theme="0"/>
      <name val="Calibri"/>
      <family val="2"/>
    </font>
  </fonts>
  <fills count="17">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rgb="FFFFFFFF"/>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rgb="FFFFFF00"/>
        <bgColor indexed="64"/>
      </patternFill>
    </fill>
    <fill>
      <patternFill patternType="solid">
        <fgColor rgb="FF000000"/>
        <bgColor indexed="64"/>
      </patternFill>
    </fill>
    <fill>
      <patternFill patternType="solid">
        <fgColor rgb="FFFF0000"/>
        <bgColor indexed="64"/>
      </patternFill>
    </fill>
    <fill>
      <patternFill patternType="solid">
        <fgColor rgb="FF92D050"/>
        <bgColor indexed="64"/>
      </patternFill>
    </fill>
    <fill>
      <patternFill patternType="solid">
        <fgColor theme="4" tint="-0.249977111117893"/>
        <bgColor indexed="64"/>
      </patternFill>
    </fill>
  </fills>
  <borders count="67">
    <border>
      <left/>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auto="1"/>
      </top>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medium">
        <color indexed="64"/>
      </left>
      <right style="thin">
        <color auto="1"/>
      </right>
      <top style="thin">
        <color auto="1"/>
      </top>
      <bottom/>
      <diagonal/>
    </border>
    <border>
      <left style="thin">
        <color auto="1"/>
      </left>
      <right/>
      <top/>
      <bottom style="medium">
        <color indexed="64"/>
      </bottom>
      <diagonal/>
    </border>
    <border>
      <left style="thin">
        <color auto="1"/>
      </left>
      <right/>
      <top style="thin">
        <color auto="1"/>
      </top>
      <bottom style="medium">
        <color auto="1"/>
      </bottom>
      <diagonal/>
    </border>
    <border>
      <left style="medium">
        <color rgb="FFD9D9D9"/>
      </left>
      <right style="medium">
        <color rgb="FFD9D9D9"/>
      </right>
      <top style="medium">
        <color rgb="FFD9D9D9"/>
      </top>
      <bottom/>
      <diagonal/>
    </border>
    <border>
      <left style="medium">
        <color rgb="FFD9D9D9"/>
      </left>
      <right style="medium">
        <color rgb="FFD9D9D9"/>
      </right>
      <top/>
      <bottom style="medium">
        <color rgb="FFD9D9D9"/>
      </bottom>
      <diagonal/>
    </border>
    <border>
      <left/>
      <right style="medium">
        <color rgb="FFD9D9D9"/>
      </right>
      <top style="medium">
        <color rgb="FFD9D9D9"/>
      </top>
      <bottom/>
      <diagonal/>
    </border>
    <border>
      <left/>
      <right style="medium">
        <color rgb="FFD9D9D9"/>
      </right>
      <top/>
      <bottom style="medium">
        <color rgb="FFD9D9D9"/>
      </bottom>
      <diagonal/>
    </border>
    <border>
      <left/>
      <right style="medium">
        <color rgb="FFD9D9D9"/>
      </right>
      <top/>
      <bottom/>
      <diagonal/>
    </border>
    <border>
      <left/>
      <right style="medium">
        <color auto="1"/>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auto="1"/>
      </right>
      <top style="thin">
        <color auto="1"/>
      </top>
      <bottom style="medium">
        <color indexed="64"/>
      </bottom>
      <diagonal/>
    </border>
  </borders>
  <cellStyleXfs count="4">
    <xf numFmtId="0" fontId="0" fillId="0" borderId="0"/>
    <xf numFmtId="0" fontId="23" fillId="0" borderId="0" applyNumberFormat="0" applyFill="0" applyBorder="0" applyAlignment="0" applyProtection="0"/>
    <xf numFmtId="43" fontId="30" fillId="0" borderId="0" applyFont="0" applyFill="0" applyBorder="0" applyAlignment="0" applyProtection="0"/>
    <xf numFmtId="9" fontId="30" fillId="0" borderId="0" applyFont="0" applyFill="0" applyBorder="0" applyAlignment="0" applyProtection="0"/>
  </cellStyleXfs>
  <cellXfs count="588">
    <xf numFmtId="0" fontId="0" fillId="0" borderId="0" xfId="0"/>
    <xf numFmtId="0" fontId="0" fillId="0" borderId="0" xfId="0" applyFill="1"/>
    <xf numFmtId="0" fontId="0" fillId="7" borderId="0" xfId="0" applyFill="1"/>
    <xf numFmtId="0" fontId="9" fillId="7" borderId="0" xfId="0" applyFont="1" applyFill="1"/>
    <xf numFmtId="0" fontId="10" fillId="7" borderId="0" xfId="0" applyFont="1" applyFill="1"/>
    <xf numFmtId="0" fontId="11" fillId="7" borderId="0" xfId="0" applyFont="1" applyFill="1"/>
    <xf numFmtId="0" fontId="0" fillId="0" borderId="0" xfId="0" applyBorder="1"/>
    <xf numFmtId="0" fontId="0" fillId="7" borderId="0" xfId="0" applyFont="1" applyFill="1" applyAlignment="1">
      <alignment horizontal="right"/>
    </xf>
    <xf numFmtId="0" fontId="0" fillId="7" borderId="0" xfId="0" applyFill="1" applyBorder="1"/>
    <xf numFmtId="0" fontId="6" fillId="7" borderId="0" xfId="0" applyFont="1" applyFill="1" applyBorder="1" applyAlignment="1">
      <alignment vertical="center" wrapText="1"/>
    </xf>
    <xf numFmtId="0" fontId="7" fillId="7" borderId="0" xfId="0" applyFont="1" applyFill="1" applyBorder="1" applyAlignment="1">
      <alignment vertical="center" wrapText="1"/>
    </xf>
    <xf numFmtId="0" fontId="5" fillId="7" borderId="18" xfId="0" applyFont="1" applyFill="1" applyBorder="1" applyAlignment="1">
      <alignment vertical="center" wrapText="1"/>
    </xf>
    <xf numFmtId="0" fontId="5" fillId="7" borderId="32" xfId="0" applyFont="1" applyFill="1" applyBorder="1" applyAlignment="1">
      <alignment vertical="center" wrapText="1"/>
    </xf>
    <xf numFmtId="0" fontId="5" fillId="7" borderId="21" xfId="0" applyFont="1" applyFill="1" applyBorder="1" applyAlignment="1">
      <alignment vertical="center" wrapText="1"/>
    </xf>
    <xf numFmtId="0" fontId="15" fillId="7" borderId="16" xfId="0" applyFont="1" applyFill="1" applyBorder="1" applyAlignment="1">
      <alignment horizontal="right"/>
    </xf>
    <xf numFmtId="0" fontId="15" fillId="7" borderId="46" xfId="0" applyFont="1" applyFill="1" applyBorder="1" applyAlignment="1">
      <alignment horizontal="right"/>
    </xf>
    <xf numFmtId="0" fontId="15" fillId="7" borderId="19" xfId="0" applyFont="1" applyFill="1" applyBorder="1" applyAlignment="1">
      <alignment horizontal="right"/>
    </xf>
    <xf numFmtId="0" fontId="15" fillId="7" borderId="22" xfId="0" applyFont="1" applyFill="1" applyBorder="1" applyAlignment="1">
      <alignment horizontal="right"/>
    </xf>
    <xf numFmtId="0" fontId="12" fillId="7" borderId="0" xfId="0" applyFont="1" applyFill="1" applyBorder="1"/>
    <xf numFmtId="0" fontId="0" fillId="7" borderId="0" xfId="0" applyFill="1" applyBorder="1" applyAlignment="1">
      <alignment horizontal="right"/>
    </xf>
    <xf numFmtId="0" fontId="16" fillId="7" borderId="0" xfId="0" applyFont="1" applyFill="1" applyBorder="1"/>
    <xf numFmtId="0" fontId="6" fillId="7" borderId="21" xfId="0" applyFont="1" applyFill="1" applyBorder="1" applyAlignment="1">
      <alignment vertical="top" wrapText="1"/>
    </xf>
    <xf numFmtId="0" fontId="6" fillId="7" borderId="18" xfId="0" applyFont="1" applyFill="1" applyBorder="1" applyAlignment="1">
      <alignment vertical="top" wrapText="1"/>
    </xf>
    <xf numFmtId="0" fontId="6" fillId="7" borderId="32" xfId="0" applyFont="1" applyFill="1" applyBorder="1" applyAlignment="1">
      <alignment vertical="top" wrapText="1"/>
    </xf>
    <xf numFmtId="0" fontId="6" fillId="7" borderId="46" xfId="0" applyFont="1" applyFill="1" applyBorder="1" applyAlignment="1">
      <alignment horizontal="right" vertical="top" wrapText="1"/>
    </xf>
    <xf numFmtId="0" fontId="18" fillId="7" borderId="22" xfId="0" applyFont="1" applyFill="1" applyBorder="1" applyAlignment="1">
      <alignment vertical="top" wrapText="1"/>
    </xf>
    <xf numFmtId="0" fontId="15" fillId="7" borderId="46" xfId="0" applyFont="1" applyFill="1" applyBorder="1" applyAlignment="1">
      <alignment horizontal="right" vertical="top"/>
    </xf>
    <xf numFmtId="0" fontId="6" fillId="7" borderId="18" xfId="0" applyFont="1" applyFill="1" applyBorder="1" applyAlignment="1">
      <alignment vertical="center" wrapText="1"/>
    </xf>
    <xf numFmtId="0" fontId="6" fillId="7" borderId="32" xfId="0" applyFont="1" applyFill="1" applyBorder="1" applyAlignment="1">
      <alignment vertical="center" wrapText="1"/>
    </xf>
    <xf numFmtId="0" fontId="5" fillId="7" borderId="32" xfId="0" applyFont="1" applyFill="1" applyBorder="1" applyAlignment="1">
      <alignment vertical="top" wrapText="1"/>
    </xf>
    <xf numFmtId="0" fontId="15" fillId="7" borderId="0" xfId="0" applyFont="1" applyFill="1" applyBorder="1" applyAlignment="1">
      <alignment horizontal="right"/>
    </xf>
    <xf numFmtId="0" fontId="15" fillId="7" borderId="17" xfId="0" applyFont="1" applyFill="1" applyBorder="1" applyAlignment="1">
      <alignment horizontal="right"/>
    </xf>
    <xf numFmtId="0" fontId="0" fillId="7" borderId="32" xfId="0" applyFill="1" applyBorder="1"/>
    <xf numFmtId="0" fontId="0" fillId="7" borderId="20" xfId="0" applyFill="1" applyBorder="1"/>
    <xf numFmtId="0" fontId="0" fillId="7" borderId="21" xfId="0" applyFill="1" applyBorder="1"/>
    <xf numFmtId="0" fontId="12" fillId="7" borderId="24" xfId="0" applyFont="1" applyFill="1" applyBorder="1"/>
    <xf numFmtId="0" fontId="12" fillId="7" borderId="45" xfId="0" applyFont="1" applyFill="1" applyBorder="1"/>
    <xf numFmtId="0" fontId="12" fillId="7" borderId="25" xfId="0" applyFont="1" applyFill="1" applyBorder="1"/>
    <xf numFmtId="0" fontId="15" fillId="7" borderId="22" xfId="0" applyFont="1" applyFill="1" applyBorder="1" applyAlignment="1">
      <alignment horizontal="right" vertical="top"/>
    </xf>
    <xf numFmtId="0" fontId="21" fillId="7" borderId="0" xfId="0" applyFont="1" applyFill="1" applyBorder="1"/>
    <xf numFmtId="0" fontId="15" fillId="7" borderId="16" xfId="0" applyFont="1" applyFill="1" applyBorder="1" applyAlignment="1">
      <alignment horizontal="right" vertical="top"/>
    </xf>
    <xf numFmtId="0" fontId="5" fillId="7" borderId="18" xfId="0" applyFont="1" applyFill="1" applyBorder="1" applyAlignment="1">
      <alignment vertical="top" wrapText="1"/>
    </xf>
    <xf numFmtId="0" fontId="20" fillId="7" borderId="0" xfId="0" applyFont="1" applyFill="1" applyBorder="1"/>
    <xf numFmtId="0" fontId="5" fillId="7" borderId="0" xfId="0" applyFont="1" applyFill="1" applyBorder="1" applyAlignment="1">
      <alignment vertical="center" wrapText="1"/>
    </xf>
    <xf numFmtId="0" fontId="5" fillId="7" borderId="17" xfId="0" applyFont="1" applyFill="1" applyBorder="1" applyAlignment="1">
      <alignment vertical="center" wrapText="1"/>
    </xf>
    <xf numFmtId="0" fontId="6" fillId="7" borderId="17" xfId="0" applyFont="1" applyFill="1" applyBorder="1" applyAlignment="1">
      <alignment vertical="top" wrapText="1"/>
    </xf>
    <xf numFmtId="0" fontId="6" fillId="7" borderId="0" xfId="0" applyFont="1" applyFill="1" applyBorder="1" applyAlignment="1">
      <alignment vertical="top" wrapText="1"/>
    </xf>
    <xf numFmtId="0" fontId="17" fillId="7" borderId="0" xfId="0" applyFont="1" applyFill="1" applyBorder="1" applyAlignment="1">
      <alignment vertical="top" wrapText="1"/>
    </xf>
    <xf numFmtId="0" fontId="5" fillId="7" borderId="17" xfId="0" applyFont="1" applyFill="1" applyBorder="1" applyAlignment="1">
      <alignment vertical="top" wrapText="1"/>
    </xf>
    <xf numFmtId="0" fontId="0" fillId="7" borderId="46" xfId="0" applyFill="1" applyBorder="1"/>
    <xf numFmtId="0" fontId="0" fillId="7" borderId="19" xfId="0" applyFill="1" applyBorder="1"/>
    <xf numFmtId="0" fontId="15" fillId="7" borderId="19" xfId="0" applyFont="1" applyFill="1" applyBorder="1" applyAlignment="1">
      <alignment horizontal="right" vertical="top"/>
    </xf>
    <xf numFmtId="0" fontId="5" fillId="7" borderId="23" xfId="0" applyFont="1" applyFill="1" applyBorder="1" applyAlignment="1">
      <alignment vertical="center" wrapText="1"/>
    </xf>
    <xf numFmtId="0" fontId="6" fillId="7" borderId="23" xfId="0" applyFont="1" applyFill="1" applyBorder="1" applyAlignment="1">
      <alignment vertical="top" wrapText="1"/>
    </xf>
    <xf numFmtId="0" fontId="18" fillId="7" borderId="22" xfId="0" applyFont="1" applyFill="1" applyBorder="1" applyAlignment="1">
      <alignment vertical="center" wrapText="1"/>
    </xf>
    <xf numFmtId="0" fontId="19" fillId="7" borderId="21" xfId="0" applyFont="1" applyFill="1" applyBorder="1" applyAlignment="1">
      <alignment vertical="center" wrapText="1"/>
    </xf>
    <xf numFmtId="0" fontId="15" fillId="7" borderId="17" xfId="0" applyFont="1" applyFill="1" applyBorder="1" applyAlignment="1">
      <alignment horizontal="right" vertical="top"/>
    </xf>
    <xf numFmtId="0" fontId="5" fillId="7" borderId="21" xfId="0" applyFont="1" applyFill="1" applyBorder="1" applyAlignment="1">
      <alignment vertical="top" wrapText="1"/>
    </xf>
    <xf numFmtId="0" fontId="0" fillId="7" borderId="0" xfId="0" applyFont="1" applyFill="1"/>
    <xf numFmtId="0" fontId="21" fillId="7" borderId="0" xfId="0" applyFont="1" applyFill="1"/>
    <xf numFmtId="0" fontId="16" fillId="7" borderId="0" xfId="0" applyFont="1" applyFill="1"/>
    <xf numFmtId="0" fontId="14" fillId="8" borderId="15" xfId="0" applyFont="1" applyFill="1" applyBorder="1"/>
    <xf numFmtId="0" fontId="7" fillId="7" borderId="20" xfId="0" applyFont="1" applyFill="1" applyBorder="1" applyAlignment="1">
      <alignment vertical="center" wrapText="1"/>
    </xf>
    <xf numFmtId="0" fontId="0" fillId="7" borderId="18" xfId="0" applyFont="1" applyFill="1" applyBorder="1" applyAlignment="1">
      <alignment horizontal="left" vertical="center"/>
    </xf>
    <xf numFmtId="0" fontId="0" fillId="7" borderId="32" xfId="0" applyFont="1" applyFill="1" applyBorder="1" applyAlignment="1">
      <alignment horizontal="left" vertical="center"/>
    </xf>
    <xf numFmtId="0" fontId="0" fillId="7" borderId="21" xfId="0" applyFont="1" applyFill="1" applyBorder="1" applyAlignment="1">
      <alignment horizontal="left" vertical="center"/>
    </xf>
    <xf numFmtId="0" fontId="12" fillId="7" borderId="24" xfId="0" applyFont="1" applyFill="1" applyBorder="1" applyAlignment="1">
      <alignment vertical="top"/>
    </xf>
    <xf numFmtId="0" fontId="9" fillId="7" borderId="16" xfId="0" applyFont="1" applyFill="1" applyBorder="1"/>
    <xf numFmtId="0" fontId="0" fillId="7" borderId="18" xfId="0" applyFont="1" applyFill="1" applyBorder="1" applyAlignment="1">
      <alignment vertical="center" wrapText="1"/>
    </xf>
    <xf numFmtId="0" fontId="9" fillId="7" borderId="46" xfId="0" applyFont="1" applyFill="1" applyBorder="1"/>
    <xf numFmtId="0" fontId="23" fillId="7" borderId="32" xfId="1" applyFill="1" applyBorder="1" applyAlignment="1">
      <alignment vertical="center"/>
    </xf>
    <xf numFmtId="0" fontId="0" fillId="7" borderId="32" xfId="0" applyFont="1" applyFill="1" applyBorder="1" applyAlignment="1">
      <alignment vertical="center" wrapText="1"/>
    </xf>
    <xf numFmtId="0" fontId="0" fillId="7" borderId="32" xfId="0" applyFont="1" applyFill="1" applyBorder="1" applyAlignment="1">
      <alignment horizontal="left" vertical="center" wrapText="1"/>
    </xf>
    <xf numFmtId="0" fontId="26" fillId="7" borderId="46" xfId="0" applyFont="1" applyFill="1" applyBorder="1" applyAlignment="1">
      <alignment vertical="center" wrapText="1"/>
    </xf>
    <xf numFmtId="0" fontId="26" fillId="7" borderId="45" xfId="0" applyFont="1" applyFill="1" applyBorder="1" applyAlignment="1">
      <alignment horizontal="left" vertical="center" wrapText="1"/>
    </xf>
    <xf numFmtId="0" fontId="28" fillId="7" borderId="45" xfId="0" applyFont="1" applyFill="1" applyBorder="1" applyAlignment="1">
      <alignment horizontal="left"/>
    </xf>
    <xf numFmtId="0" fontId="16" fillId="0" borderId="19" xfId="0" applyFont="1" applyFill="1" applyBorder="1"/>
    <xf numFmtId="0" fontId="21" fillId="7" borderId="32" xfId="0" applyFont="1" applyFill="1" applyBorder="1" applyAlignment="1">
      <alignment vertical="center" wrapText="1"/>
    </xf>
    <xf numFmtId="0" fontId="4" fillId="0" borderId="0" xfId="0" applyFont="1"/>
    <xf numFmtId="0" fontId="34" fillId="7" borderId="0" xfId="0" applyFont="1" applyFill="1" applyBorder="1" applyAlignment="1" applyProtection="1">
      <alignment vertical="top" wrapText="1"/>
      <protection locked="0"/>
    </xf>
    <xf numFmtId="0" fontId="33" fillId="7" borderId="0" xfId="0" applyFont="1" applyFill="1" applyBorder="1" applyAlignment="1">
      <alignment vertical="center" wrapText="1"/>
    </xf>
    <xf numFmtId="0" fontId="32" fillId="7" borderId="0" xfId="0" applyFont="1" applyFill="1" applyBorder="1" applyAlignment="1">
      <alignment vertical="center" wrapText="1"/>
    </xf>
    <xf numFmtId="43" fontId="13" fillId="7" borderId="0" xfId="2" applyFont="1" applyFill="1" applyBorder="1" applyAlignment="1">
      <alignment vertical="center" wrapText="1"/>
    </xf>
    <xf numFmtId="0" fontId="13" fillId="7" borderId="0" xfId="0" applyFont="1" applyFill="1" applyBorder="1" applyAlignment="1">
      <alignment vertical="center" wrapText="1"/>
    </xf>
    <xf numFmtId="0" fontId="34" fillId="7" borderId="0" xfId="0" applyFont="1" applyFill="1" applyBorder="1" applyAlignment="1" applyProtection="1">
      <alignment vertical="center" wrapText="1"/>
      <protection locked="0"/>
    </xf>
    <xf numFmtId="0" fontId="21" fillId="0" borderId="0" xfId="0" applyFont="1"/>
    <xf numFmtId="0" fontId="35" fillId="0" borderId="15" xfId="0" applyFont="1" applyBorder="1" applyAlignment="1">
      <alignment horizontal="center" vertical="top" wrapText="1"/>
    </xf>
    <xf numFmtId="0" fontId="0" fillId="7" borderId="23" xfId="0" applyFill="1" applyBorder="1" applyAlignment="1">
      <alignment vertical="top"/>
    </xf>
    <xf numFmtId="0" fontId="5" fillId="7" borderId="26" xfId="0" applyFont="1" applyFill="1" applyBorder="1" applyAlignment="1">
      <alignment vertical="top" wrapText="1"/>
    </xf>
    <xf numFmtId="0" fontId="20" fillId="7" borderId="0" xfId="0" applyFont="1" applyFill="1" applyAlignment="1">
      <alignment vertical="top" wrapText="1"/>
    </xf>
    <xf numFmtId="0" fontId="0" fillId="7" borderId="22" xfId="0" applyFill="1" applyBorder="1" applyAlignment="1">
      <alignment vertical="top"/>
    </xf>
    <xf numFmtId="0" fontId="5" fillId="7" borderId="23" xfId="0" applyFont="1" applyFill="1" applyBorder="1" applyAlignment="1">
      <alignment vertical="top" wrapText="1"/>
    </xf>
    <xf numFmtId="0" fontId="0" fillId="7" borderId="21" xfId="0" applyFont="1" applyFill="1" applyBorder="1" applyAlignment="1">
      <alignment vertical="top"/>
    </xf>
    <xf numFmtId="0" fontId="34" fillId="3" borderId="10" xfId="0" applyFont="1" applyFill="1" applyBorder="1" applyAlignment="1">
      <alignment vertical="center" wrapText="1"/>
    </xf>
    <xf numFmtId="0" fontId="34" fillId="3" borderId="13" xfId="0" applyFont="1" applyFill="1" applyBorder="1" applyAlignment="1">
      <alignment vertical="center" wrapText="1"/>
    </xf>
    <xf numFmtId="0" fontId="38" fillId="7" borderId="32" xfId="0" applyFont="1" applyFill="1" applyBorder="1" applyAlignment="1">
      <alignment vertical="center" wrapText="1"/>
    </xf>
    <xf numFmtId="43" fontId="37" fillId="10" borderId="15" xfId="2" applyFont="1" applyFill="1" applyBorder="1"/>
    <xf numFmtId="43" fontId="24" fillId="7" borderId="15" xfId="2" applyFont="1" applyFill="1" applyBorder="1"/>
    <xf numFmtId="43" fontId="24" fillId="10" borderId="15" xfId="2" applyFont="1" applyFill="1" applyBorder="1"/>
    <xf numFmtId="0" fontId="0" fillId="7" borderId="23" xfId="0" applyFill="1" applyBorder="1" applyAlignment="1">
      <alignment vertical="top" wrapText="1"/>
    </xf>
    <xf numFmtId="0" fontId="7" fillId="7" borderId="15" xfId="0" applyFont="1" applyFill="1" applyBorder="1" applyAlignment="1">
      <alignment vertical="top" wrapText="1"/>
    </xf>
    <xf numFmtId="0" fontId="5" fillId="7" borderId="0" xfId="0" applyFont="1" applyFill="1" applyBorder="1" applyAlignment="1">
      <alignment vertical="top"/>
    </xf>
    <xf numFmtId="0" fontId="0" fillId="7" borderId="0" xfId="0" applyFill="1" applyBorder="1" applyAlignment="1">
      <alignment vertical="top"/>
    </xf>
    <xf numFmtId="0" fontId="0" fillId="7" borderId="32" xfId="0" applyFill="1" applyBorder="1" applyAlignment="1">
      <alignment vertical="top" wrapText="1"/>
    </xf>
    <xf numFmtId="0" fontId="36" fillId="7" borderId="0" xfId="0" applyFont="1" applyFill="1"/>
    <xf numFmtId="0" fontId="8" fillId="7" borderId="0" xfId="0" applyFont="1" applyFill="1"/>
    <xf numFmtId="0" fontId="22" fillId="7" borderId="0" xfId="0" applyFont="1" applyFill="1"/>
    <xf numFmtId="43" fontId="24" fillId="0" borderId="15" xfId="2" applyFont="1" applyBorder="1"/>
    <xf numFmtId="0" fontId="37" fillId="0" borderId="15" xfId="0" applyFont="1" applyBorder="1" applyAlignment="1">
      <alignment horizontal="center"/>
    </xf>
    <xf numFmtId="0" fontId="37" fillId="0" borderId="23" xfId="0" applyFont="1" applyBorder="1" applyAlignment="1">
      <alignment horizontal="center"/>
    </xf>
    <xf numFmtId="0" fontId="40" fillId="7" borderId="0" xfId="0" applyFont="1" applyFill="1" applyAlignment="1">
      <alignment vertical="center"/>
    </xf>
    <xf numFmtId="0" fontId="20" fillId="7" borderId="0" xfId="0" applyFont="1" applyFill="1"/>
    <xf numFmtId="0" fontId="41" fillId="0" borderId="0" xfId="0" applyFont="1"/>
    <xf numFmtId="0" fontId="41" fillId="0" borderId="0" xfId="0" applyFont="1" applyAlignment="1">
      <alignment horizontal="left" vertical="top" wrapText="1"/>
    </xf>
    <xf numFmtId="0" fontId="0" fillId="0" borderId="0" xfId="0" applyAlignment="1">
      <alignment horizontal="left" vertical="top" wrapText="1"/>
    </xf>
    <xf numFmtId="0" fontId="42" fillId="7" borderId="45" xfId="0" applyFont="1" applyFill="1" applyBorder="1"/>
    <xf numFmtId="0" fontId="43" fillId="7" borderId="0" xfId="0" applyFont="1" applyFill="1" applyBorder="1"/>
    <xf numFmtId="0" fontId="20" fillId="7" borderId="32" xfId="0" applyFont="1" applyFill="1" applyBorder="1"/>
    <xf numFmtId="0" fontId="5" fillId="7" borderId="0" xfId="0" applyFont="1" applyFill="1" applyBorder="1" applyAlignment="1">
      <alignment vertical="top" wrapText="1"/>
    </xf>
    <xf numFmtId="0" fontId="34" fillId="2" borderId="4" xfId="0" applyFont="1" applyFill="1" applyBorder="1" applyAlignment="1" applyProtection="1">
      <alignment vertical="center" wrapText="1"/>
    </xf>
    <xf numFmtId="0" fontId="5" fillId="7" borderId="20" xfId="0" applyFont="1" applyFill="1" applyBorder="1" applyAlignment="1">
      <alignment vertical="top" wrapText="1"/>
    </xf>
    <xf numFmtId="0" fontId="0" fillId="7" borderId="16" xfId="0" applyFill="1" applyBorder="1"/>
    <xf numFmtId="0" fontId="0" fillId="7" borderId="18" xfId="0" applyFill="1" applyBorder="1"/>
    <xf numFmtId="0" fontId="18" fillId="7" borderId="16" xfId="0" applyFont="1" applyFill="1" applyBorder="1" applyAlignment="1">
      <alignment vertical="center" wrapText="1"/>
    </xf>
    <xf numFmtId="0" fontId="38" fillId="7" borderId="32" xfId="0" applyFont="1" applyFill="1" applyBorder="1" applyAlignment="1">
      <alignment vertical="top" wrapText="1"/>
    </xf>
    <xf numFmtId="0" fontId="38" fillId="7" borderId="21" xfId="0" applyFont="1" applyFill="1" applyBorder="1" applyAlignment="1">
      <alignment vertical="center" wrapText="1"/>
    </xf>
    <xf numFmtId="0" fontId="15" fillId="7" borderId="0" xfId="0" applyFont="1" applyFill="1" applyBorder="1" applyAlignment="1">
      <alignment horizontal="right" vertical="top"/>
    </xf>
    <xf numFmtId="0" fontId="0" fillId="4" borderId="0" xfId="0" applyFill="1"/>
    <xf numFmtId="0" fontId="46" fillId="7" borderId="0" xfId="0" applyFont="1" applyFill="1" applyAlignment="1">
      <alignment horizontal="right"/>
    </xf>
    <xf numFmtId="0" fontId="46" fillId="7" borderId="0" xfId="0" applyFont="1" applyFill="1" applyBorder="1" applyAlignment="1">
      <alignment horizontal="right"/>
    </xf>
    <xf numFmtId="0" fontId="26" fillId="7" borderId="46" xfId="0" applyFont="1" applyFill="1" applyBorder="1" applyAlignment="1">
      <alignment horizontal="right" vertical="center" wrapText="1"/>
    </xf>
    <xf numFmtId="0" fontId="49" fillId="7" borderId="0" xfId="0" applyFont="1" applyFill="1"/>
    <xf numFmtId="0" fontId="6" fillId="7" borderId="0" xfId="0" applyFont="1" applyFill="1" applyAlignment="1">
      <alignment horizontal="right"/>
    </xf>
    <xf numFmtId="0" fontId="8" fillId="0" borderId="0" xfId="0" applyFont="1"/>
    <xf numFmtId="0" fontId="45" fillId="0" borderId="0" xfId="0" applyFont="1"/>
    <xf numFmtId="169" fontId="0" fillId="0" borderId="0" xfId="0" applyNumberFormat="1"/>
    <xf numFmtId="1" fontId="0" fillId="0" borderId="0" xfId="0" applyNumberFormat="1"/>
    <xf numFmtId="0" fontId="0" fillId="0" borderId="0" xfId="0" applyAlignment="1">
      <alignment horizontal="right"/>
    </xf>
    <xf numFmtId="0" fontId="23" fillId="0" borderId="0" xfId="1" applyAlignment="1">
      <alignment vertical="center"/>
    </xf>
    <xf numFmtId="0" fontId="22" fillId="0" borderId="0" xfId="0" applyFont="1" applyAlignment="1">
      <alignment vertical="center"/>
    </xf>
    <xf numFmtId="0" fontId="12" fillId="0" borderId="0" xfId="0" applyFont="1"/>
    <xf numFmtId="0" fontId="12" fillId="0" borderId="0" xfId="0" applyFont="1" applyAlignment="1">
      <alignment horizontal="right"/>
    </xf>
    <xf numFmtId="0" fontId="0" fillId="12" borderId="0" xfId="0" applyFill="1"/>
    <xf numFmtId="0" fontId="0" fillId="0" borderId="0" xfId="0" quotePrefix="1" applyAlignment="1">
      <alignment horizontal="right"/>
    </xf>
    <xf numFmtId="9" fontId="0" fillId="0" borderId="0" xfId="3" applyFont="1"/>
    <xf numFmtId="0" fontId="52" fillId="13" borderId="60" xfId="0" applyFont="1" applyFill="1" applyBorder="1" applyAlignment="1">
      <alignment horizontal="center" vertical="center" wrapText="1"/>
    </xf>
    <xf numFmtId="0" fontId="52" fillId="13" borderId="61" xfId="0" applyFont="1" applyFill="1" applyBorder="1" applyAlignment="1">
      <alignment horizontal="center" vertical="center" wrapText="1"/>
    </xf>
    <xf numFmtId="0" fontId="53" fillId="0" borderId="59" xfId="0" applyFont="1" applyBorder="1" applyAlignment="1">
      <alignment vertical="center" wrapText="1"/>
    </xf>
    <xf numFmtId="0" fontId="53" fillId="0" borderId="61" xfId="0" applyFont="1" applyBorder="1" applyAlignment="1">
      <alignment horizontal="center" vertical="center" wrapText="1"/>
    </xf>
    <xf numFmtId="0" fontId="54" fillId="0" borderId="59" xfId="0" applyFont="1" applyBorder="1" applyAlignment="1">
      <alignment vertical="center" wrapText="1"/>
    </xf>
    <xf numFmtId="10" fontId="53" fillId="0" borderId="62" xfId="0" applyNumberFormat="1" applyFont="1" applyFill="1" applyBorder="1" applyAlignment="1">
      <alignment horizontal="center" vertical="center" wrapText="1"/>
    </xf>
    <xf numFmtId="169" fontId="53" fillId="0" borderId="61" xfId="0" applyNumberFormat="1" applyFont="1" applyBorder="1" applyAlignment="1">
      <alignment horizontal="center" vertical="center" wrapText="1"/>
    </xf>
    <xf numFmtId="0" fontId="55" fillId="0" borderId="0" xfId="0" applyFont="1" applyFill="1" applyBorder="1" applyAlignment="1">
      <alignment vertical="center" wrapText="1"/>
    </xf>
    <xf numFmtId="169" fontId="57" fillId="0" borderId="61" xfId="0" applyNumberFormat="1" applyFont="1" applyBorder="1" applyAlignment="1">
      <alignment horizontal="center" vertical="center" wrapText="1"/>
    </xf>
    <xf numFmtId="0" fontId="37" fillId="0" borderId="15" xfId="0" applyFont="1" applyBorder="1" applyAlignment="1">
      <alignment horizontal="left"/>
    </xf>
    <xf numFmtId="170" fontId="24" fillId="10" borderId="15" xfId="2" applyNumberFormat="1" applyFont="1" applyFill="1" applyBorder="1"/>
    <xf numFmtId="170" fontId="24" fillId="0" borderId="15" xfId="2" applyNumberFormat="1" applyFont="1" applyBorder="1"/>
    <xf numFmtId="171" fontId="24" fillId="10" borderId="15" xfId="2" applyNumberFormat="1" applyFont="1" applyFill="1" applyBorder="1"/>
    <xf numFmtId="0" fontId="32" fillId="0" borderId="0" xfId="0" applyFont="1" applyAlignment="1">
      <alignment vertical="center"/>
    </xf>
    <xf numFmtId="0" fontId="0" fillId="0" borderId="0" xfId="0" applyAlignment="1">
      <alignment vertical="center"/>
    </xf>
    <xf numFmtId="0" fontId="26" fillId="0" borderId="0" xfId="0" applyFont="1" applyAlignment="1">
      <alignment vertical="center"/>
    </xf>
    <xf numFmtId="0" fontId="33" fillId="0" borderId="0" xfId="0" applyFont="1" applyAlignment="1">
      <alignment vertical="center" wrapText="1"/>
    </xf>
    <xf numFmtId="0" fontId="59" fillId="0" borderId="0" xfId="0" applyFont="1" applyAlignment="1">
      <alignment vertical="center"/>
    </xf>
    <xf numFmtId="0" fontId="12" fillId="0" borderId="0" xfId="0" applyFont="1" applyAlignment="1">
      <alignment horizontal="left"/>
    </xf>
    <xf numFmtId="0" fontId="0" fillId="14" borderId="0" xfId="0" applyFill="1"/>
    <xf numFmtId="0" fontId="16" fillId="0" borderId="0" xfId="0" applyFont="1"/>
    <xf numFmtId="0" fontId="23" fillId="0" borderId="0" xfId="1"/>
    <xf numFmtId="0" fontId="0" fillId="0" borderId="15" xfId="0" applyBorder="1"/>
    <xf numFmtId="0" fontId="0" fillId="0" borderId="15" xfId="0" applyBorder="1" applyAlignment="1">
      <alignment horizontal="right"/>
    </xf>
    <xf numFmtId="0" fontId="32" fillId="7" borderId="16" xfId="0" applyFont="1" applyFill="1" applyBorder="1" applyAlignment="1">
      <alignment vertical="center"/>
    </xf>
    <xf numFmtId="0" fontId="0" fillId="7" borderId="17" xfId="0" applyFill="1" applyBorder="1"/>
    <xf numFmtId="0" fontId="20" fillId="0" borderId="0" xfId="0" applyFont="1"/>
    <xf numFmtId="172" fontId="0" fillId="0" borderId="0" xfId="3" applyNumberFormat="1" applyFont="1"/>
    <xf numFmtId="0" fontId="54" fillId="12" borderId="59" xfId="0" applyFont="1" applyFill="1" applyBorder="1" applyAlignment="1">
      <alignment vertical="center" wrapText="1"/>
    </xf>
    <xf numFmtId="169" fontId="54" fillId="12" borderId="61" xfId="0" applyNumberFormat="1" applyFont="1" applyFill="1" applyBorder="1" applyAlignment="1">
      <alignment horizontal="center" vertical="center" wrapText="1"/>
    </xf>
    <xf numFmtId="10" fontId="0" fillId="0" borderId="0" xfId="3" applyNumberFormat="1" applyFont="1"/>
    <xf numFmtId="0" fontId="0" fillId="15" borderId="15" xfId="0" applyFill="1" applyBorder="1"/>
    <xf numFmtId="165" fontId="24" fillId="10" borderId="15" xfId="2" applyNumberFormat="1" applyFont="1" applyFill="1" applyBorder="1"/>
    <xf numFmtId="165" fontId="37" fillId="10" borderId="15" xfId="2" applyNumberFormat="1" applyFont="1" applyFill="1" applyBorder="1"/>
    <xf numFmtId="173" fontId="24" fillId="10" borderId="15" xfId="2" applyNumberFormat="1" applyFont="1" applyFill="1" applyBorder="1"/>
    <xf numFmtId="173" fontId="24" fillId="0" borderId="15" xfId="2" applyNumberFormat="1" applyFont="1" applyBorder="1"/>
    <xf numFmtId="165" fontId="24" fillId="7" borderId="15" xfId="2" applyNumberFormat="1" applyFont="1" applyFill="1" applyBorder="1"/>
    <xf numFmtId="0" fontId="3" fillId="3" borderId="7" xfId="0" applyFont="1" applyFill="1" applyBorder="1" applyAlignment="1">
      <alignment vertical="center" wrapText="1"/>
    </xf>
    <xf numFmtId="14" fontId="3" fillId="2" borderId="7" xfId="0" applyNumberFormat="1" applyFont="1" applyFill="1" applyBorder="1" applyAlignment="1" applyProtection="1">
      <alignment horizontal="left" vertical="center"/>
    </xf>
    <xf numFmtId="166" fontId="2" fillId="0" borderId="55" xfId="2" applyNumberFormat="1" applyFont="1" applyBorder="1" applyAlignment="1">
      <alignment horizontal="center" vertical="center"/>
    </xf>
    <xf numFmtId="166" fontId="2" fillId="0" borderId="24" xfId="2" applyNumberFormat="1" applyFont="1" applyBorder="1" applyAlignment="1">
      <alignment horizontal="center" vertical="center"/>
    </xf>
    <xf numFmtId="166" fontId="2" fillId="0" borderId="42" xfId="2" applyNumberFormat="1" applyFont="1" applyBorder="1" applyAlignment="1">
      <alignment horizontal="center" vertical="center"/>
    </xf>
    <xf numFmtId="167" fontId="2" fillId="0" borderId="40" xfId="2" applyNumberFormat="1" applyFont="1" applyBorder="1" applyAlignment="1">
      <alignment horizontal="center" vertical="center"/>
    </xf>
    <xf numFmtId="167" fontId="2" fillId="0" borderId="15" xfId="2" applyNumberFormat="1" applyFont="1" applyBorder="1" applyAlignment="1">
      <alignment horizontal="center" vertical="center"/>
    </xf>
    <xf numFmtId="167" fontId="2" fillId="0" borderId="23" xfId="2" applyNumberFormat="1" applyFont="1" applyBorder="1" applyAlignment="1">
      <alignment horizontal="center" vertical="center"/>
    </xf>
    <xf numFmtId="167" fontId="2" fillId="0" borderId="29" xfId="2" applyNumberFormat="1" applyFont="1" applyBorder="1" applyAlignment="1">
      <alignment horizontal="center" vertical="center"/>
    </xf>
    <xf numFmtId="0" fontId="18" fillId="7" borderId="16" xfId="0" applyFont="1" applyFill="1" applyBorder="1" applyAlignment="1">
      <alignment horizontal="left" vertical="top" wrapText="1"/>
    </xf>
    <xf numFmtId="0" fontId="18" fillId="7" borderId="46" xfId="0" applyFont="1" applyFill="1" applyBorder="1" applyAlignment="1">
      <alignment horizontal="left" vertical="top" wrapText="1"/>
    </xf>
    <xf numFmtId="0" fontId="7" fillId="7" borderId="46" xfId="0" applyFont="1" applyFill="1" applyBorder="1" applyAlignment="1">
      <alignment horizontal="left" vertical="top" wrapText="1"/>
    </xf>
    <xf numFmtId="0" fontId="7" fillId="7" borderId="24" xfId="0" applyFont="1" applyFill="1" applyBorder="1" applyAlignment="1">
      <alignment horizontal="left" vertical="top" wrapText="1"/>
    </xf>
    <xf numFmtId="0" fontId="7" fillId="7" borderId="25" xfId="0" applyFont="1" applyFill="1" applyBorder="1" applyAlignment="1">
      <alignment horizontal="left" vertical="top" wrapText="1"/>
    </xf>
    <xf numFmtId="0" fontId="18" fillId="7" borderId="24" xfId="0" applyFont="1" applyFill="1" applyBorder="1" applyAlignment="1">
      <alignment horizontal="left" vertical="top" wrapText="1"/>
    </xf>
    <xf numFmtId="0" fontId="47" fillId="7" borderId="0" xfId="0" applyFont="1" applyFill="1" applyBorder="1" applyAlignment="1">
      <alignment horizontal="left" vertical="center"/>
    </xf>
    <xf numFmtId="0" fontId="32" fillId="6" borderId="15" xfId="0" applyFont="1" applyFill="1" applyBorder="1" applyAlignment="1">
      <alignment horizontal="center"/>
    </xf>
    <xf numFmtId="0" fontId="32" fillId="9" borderId="15" xfId="0" applyFont="1" applyFill="1" applyBorder="1" applyAlignment="1">
      <alignment horizontal="center"/>
    </xf>
    <xf numFmtId="0" fontId="32" fillId="6" borderId="15" xfId="0" applyFont="1" applyFill="1" applyBorder="1" applyAlignment="1">
      <alignment horizontal="center" vertical="center" wrapText="1"/>
    </xf>
    <xf numFmtId="0" fontId="32" fillId="6" borderId="36" xfId="0" applyFont="1" applyFill="1" applyBorder="1" applyAlignment="1">
      <alignment horizontal="center" vertical="center" wrapText="1"/>
    </xf>
    <xf numFmtId="0" fontId="32" fillId="9" borderId="15" xfId="0" applyFont="1" applyFill="1" applyBorder="1" applyAlignment="1">
      <alignment horizontal="center"/>
    </xf>
    <xf numFmtId="0" fontId="32" fillId="6" borderId="15" xfId="0" applyFont="1" applyFill="1" applyBorder="1" applyAlignment="1">
      <alignment horizontal="center"/>
    </xf>
    <xf numFmtId="0" fontId="32" fillId="6" borderId="15" xfId="0" applyFont="1" applyFill="1" applyBorder="1" applyAlignment="1">
      <alignment horizontal="center" vertical="center" wrapText="1"/>
    </xf>
    <xf numFmtId="0" fontId="2" fillId="7" borderId="0" xfId="0" applyFont="1" applyFill="1"/>
    <xf numFmtId="0" fontId="2" fillId="0" borderId="0" xfId="0" applyFont="1"/>
    <xf numFmtId="0" fontId="3" fillId="7" borderId="0" xfId="0" applyFont="1" applyFill="1" applyBorder="1" applyAlignment="1" applyProtection="1">
      <alignment vertical="center" wrapText="1"/>
      <protection locked="0"/>
    </xf>
    <xf numFmtId="0" fontId="3" fillId="7" borderId="0" xfId="0" applyFont="1" applyFill="1" applyBorder="1" applyAlignment="1" applyProtection="1">
      <alignment vertical="top" wrapText="1"/>
      <protection locked="0"/>
    </xf>
    <xf numFmtId="0" fontId="3" fillId="3" borderId="9" xfId="0" applyFont="1" applyFill="1" applyBorder="1" applyAlignment="1">
      <alignment vertical="center" wrapText="1"/>
    </xf>
    <xf numFmtId="14" fontId="3" fillId="2" borderId="9" xfId="0" applyNumberFormat="1" applyFont="1" applyFill="1" applyBorder="1" applyAlignment="1" applyProtection="1">
      <alignment horizontal="left" vertical="center" wrapText="1"/>
    </xf>
    <xf numFmtId="14" fontId="3" fillId="2" borderId="8" xfId="0" applyNumberFormat="1" applyFont="1" applyFill="1" applyBorder="1" applyAlignment="1" applyProtection="1">
      <alignment horizontal="left" vertical="center" wrapText="1"/>
    </xf>
    <xf numFmtId="0" fontId="3" fillId="3" borderId="8" xfId="0" applyFont="1" applyFill="1" applyBorder="1" applyAlignment="1">
      <alignment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0" fontId="2" fillId="6" borderId="12" xfId="0" applyFont="1" applyFill="1" applyBorder="1" applyAlignment="1">
      <alignment horizontal="right" vertical="center"/>
    </xf>
    <xf numFmtId="0" fontId="2" fillId="6" borderId="0" xfId="0" applyFont="1" applyFill="1" applyBorder="1" applyAlignment="1">
      <alignment horizontal="right" vertical="center"/>
    </xf>
    <xf numFmtId="0" fontId="2" fillId="6" borderId="0" xfId="0" applyFont="1" applyFill="1" applyBorder="1" applyAlignment="1">
      <alignment horizontal="right"/>
    </xf>
    <xf numFmtId="165" fontId="3" fillId="0" borderId="24" xfId="2" applyNumberFormat="1" applyFont="1" applyBorder="1" applyAlignment="1">
      <alignment horizontal="center" vertical="center"/>
    </xf>
    <xf numFmtId="166" fontId="2" fillId="0" borderId="41" xfId="2" applyNumberFormat="1" applyFont="1" applyBorder="1" applyAlignment="1">
      <alignment horizontal="center" vertical="center"/>
    </xf>
    <xf numFmtId="166" fontId="2" fillId="0" borderId="30" xfId="2" applyNumberFormat="1" applyFont="1" applyBorder="1" applyAlignment="1">
      <alignment horizontal="center" vertical="center"/>
    </xf>
    <xf numFmtId="165" fontId="3" fillId="0" borderId="30" xfId="2" applyNumberFormat="1" applyFont="1" applyBorder="1" applyAlignment="1">
      <alignment horizontal="center" vertical="center"/>
    </xf>
    <xf numFmtId="166" fontId="2" fillId="0" borderId="31" xfId="2" applyNumberFormat="1" applyFont="1" applyBorder="1" applyAlignment="1">
      <alignment horizontal="center" vertical="center"/>
    </xf>
    <xf numFmtId="167" fontId="3" fillId="0" borderId="15" xfId="2" applyNumberFormat="1" applyFont="1" applyBorder="1" applyAlignment="1">
      <alignment horizontal="center" vertical="center"/>
    </xf>
    <xf numFmtId="164" fontId="3" fillId="0" borderId="30" xfId="2" applyNumberFormat="1" applyFont="1" applyBorder="1" applyAlignment="1">
      <alignment horizontal="center" vertical="center"/>
    </xf>
    <xf numFmtId="166" fontId="2" fillId="0" borderId="49" xfId="2" applyNumberFormat="1" applyFont="1" applyBorder="1" applyAlignment="1">
      <alignment horizontal="center" vertical="center"/>
    </xf>
    <xf numFmtId="2" fontId="2" fillId="0" borderId="40" xfId="2" applyNumberFormat="1" applyFont="1" applyBorder="1" applyAlignment="1">
      <alignment horizontal="center" vertical="center"/>
    </xf>
    <xf numFmtId="2" fontId="3" fillId="0" borderId="15" xfId="2" applyNumberFormat="1" applyFont="1" applyBorder="1" applyAlignment="1">
      <alignment horizontal="center" vertical="center"/>
    </xf>
    <xf numFmtId="2" fontId="2" fillId="0" borderId="15" xfId="2" applyNumberFormat="1" applyFont="1" applyBorder="1" applyAlignment="1">
      <alignment horizontal="center" vertical="center"/>
    </xf>
    <xf numFmtId="2" fontId="2" fillId="0" borderId="23" xfId="2" applyNumberFormat="1" applyFont="1" applyBorder="1" applyAlignment="1">
      <alignment horizontal="center" vertical="center"/>
    </xf>
    <xf numFmtId="2" fontId="2" fillId="0" borderId="29" xfId="2" applyNumberFormat="1" applyFont="1" applyBorder="1" applyAlignment="1">
      <alignment horizontal="center" vertical="center"/>
    </xf>
    <xf numFmtId="166" fontId="2" fillId="0" borderId="40" xfId="2" applyNumberFormat="1" applyFont="1" applyBorder="1" applyAlignment="1">
      <alignment horizontal="center" vertical="center"/>
    </xf>
    <xf numFmtId="164" fontId="3" fillId="0" borderId="15" xfId="2" applyNumberFormat="1" applyFont="1" applyBorder="1" applyAlignment="1">
      <alignment horizontal="center" vertical="center"/>
    </xf>
    <xf numFmtId="166" fontId="2" fillId="0" borderId="15" xfId="2" applyNumberFormat="1" applyFont="1" applyBorder="1" applyAlignment="1">
      <alignment horizontal="center" vertical="center"/>
    </xf>
    <xf numFmtId="166" fontId="2" fillId="0" borderId="23" xfId="2" applyNumberFormat="1" applyFont="1" applyBorder="1" applyAlignment="1">
      <alignment horizontal="center" vertical="center"/>
    </xf>
    <xf numFmtId="166" fontId="2" fillId="0" borderId="29" xfId="2" applyNumberFormat="1" applyFont="1" applyBorder="1" applyAlignment="1">
      <alignment horizontal="center" vertical="center"/>
    </xf>
    <xf numFmtId="0" fontId="2" fillId="7" borderId="46" xfId="0" applyFont="1" applyFill="1" applyBorder="1" applyAlignment="1">
      <alignment vertical="center"/>
    </xf>
    <xf numFmtId="0" fontId="2" fillId="7" borderId="19" xfId="0" applyFont="1" applyFill="1" applyBorder="1" applyAlignment="1">
      <alignment vertical="center"/>
    </xf>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right" vertical="center" wrapText="1"/>
    </xf>
    <xf numFmtId="14" fontId="0" fillId="0" borderId="0" xfId="0" applyNumberFormat="1"/>
    <xf numFmtId="0" fontId="12" fillId="0" borderId="65" xfId="0" applyFont="1" applyBorder="1"/>
    <xf numFmtId="174" fontId="0" fillId="0" borderId="0" xfId="0" applyNumberFormat="1"/>
    <xf numFmtId="164" fontId="24" fillId="10" borderId="15" xfId="2" applyNumberFormat="1" applyFont="1" applyFill="1" applyBorder="1"/>
    <xf numFmtId="164" fontId="24" fillId="0" borderId="15" xfId="2" applyNumberFormat="1" applyFont="1" applyBorder="1"/>
    <xf numFmtId="164" fontId="37" fillId="0" borderId="23" xfId="0" applyNumberFormat="1" applyFont="1" applyBorder="1" applyAlignment="1">
      <alignment horizontal="center"/>
    </xf>
    <xf numFmtId="164" fontId="37" fillId="0" borderId="15" xfId="0" applyNumberFormat="1" applyFont="1" applyBorder="1" applyAlignment="1">
      <alignment horizontal="center"/>
    </xf>
    <xf numFmtId="165" fontId="24" fillId="0" borderId="15" xfId="2" applyNumberFormat="1" applyFont="1" applyBorder="1"/>
    <xf numFmtId="165" fontId="37" fillId="0" borderId="23" xfId="0" applyNumberFormat="1" applyFont="1" applyBorder="1" applyAlignment="1">
      <alignment horizontal="center"/>
    </xf>
    <xf numFmtId="165" fontId="37" fillId="0" borderId="15" xfId="0" applyNumberFormat="1" applyFont="1" applyBorder="1" applyAlignment="1">
      <alignment horizontal="center"/>
    </xf>
    <xf numFmtId="1" fontId="2" fillId="0" borderId="40" xfId="2" applyNumberFormat="1" applyFont="1" applyBorder="1" applyAlignment="1">
      <alignment horizontal="center" vertical="center"/>
    </xf>
    <xf numFmtId="1" fontId="3" fillId="0" borderId="15" xfId="2" applyNumberFormat="1" applyFont="1" applyBorder="1" applyAlignment="1">
      <alignment horizontal="center" vertical="center"/>
    </xf>
    <xf numFmtId="1" fontId="2" fillId="0" borderId="15" xfId="2" applyNumberFormat="1" applyFont="1" applyBorder="1" applyAlignment="1">
      <alignment horizontal="center" vertical="center"/>
    </xf>
    <xf numFmtId="1" fontId="2" fillId="0" borderId="23" xfId="2" applyNumberFormat="1" applyFont="1" applyBorder="1" applyAlignment="1">
      <alignment horizontal="center" vertical="center"/>
    </xf>
    <xf numFmtId="1" fontId="2" fillId="0" borderId="29" xfId="2" applyNumberFormat="1" applyFont="1" applyBorder="1" applyAlignment="1">
      <alignment horizontal="center" vertical="center"/>
    </xf>
    <xf numFmtId="0" fontId="18" fillId="7" borderId="16" xfId="0" applyFont="1" applyFill="1" applyBorder="1" applyAlignment="1">
      <alignment horizontal="left" vertical="top" wrapText="1"/>
    </xf>
    <xf numFmtId="0" fontId="18" fillId="7" borderId="46" xfId="0" applyFont="1" applyFill="1" applyBorder="1" applyAlignment="1">
      <alignment horizontal="left" vertical="top" wrapText="1"/>
    </xf>
    <xf numFmtId="0" fontId="5" fillId="7" borderId="32" xfId="0" applyFont="1" applyFill="1" applyBorder="1" applyAlignment="1">
      <alignment horizontal="left" vertical="top" wrapText="1"/>
    </xf>
    <xf numFmtId="0" fontId="5" fillId="7" borderId="21" xfId="0" applyFont="1" applyFill="1" applyBorder="1" applyAlignment="1">
      <alignment horizontal="left" vertical="top" wrapText="1"/>
    </xf>
    <xf numFmtId="0" fontId="0" fillId="7" borderId="26" xfId="0" applyFill="1" applyBorder="1" applyAlignment="1">
      <alignment horizontal="left" wrapText="1"/>
    </xf>
    <xf numFmtId="0" fontId="0" fillId="7" borderId="23" xfId="0" applyFill="1" applyBorder="1" applyAlignment="1">
      <alignment horizontal="left" wrapText="1"/>
    </xf>
    <xf numFmtId="0" fontId="7" fillId="7" borderId="16" xfId="0" applyFont="1" applyFill="1" applyBorder="1" applyAlignment="1">
      <alignment horizontal="left" vertical="top" wrapText="1"/>
    </xf>
    <xf numFmtId="0" fontId="7" fillId="7" borderId="46" xfId="0" applyFont="1" applyFill="1" applyBorder="1" applyAlignment="1">
      <alignment horizontal="left" vertical="top" wrapText="1"/>
    </xf>
    <xf numFmtId="0" fontId="7" fillId="7" borderId="24" xfId="0" applyFont="1" applyFill="1" applyBorder="1" applyAlignment="1">
      <alignment horizontal="left" vertical="top" wrapText="1"/>
    </xf>
    <xf numFmtId="0" fontId="7" fillId="7" borderId="45" xfId="0" applyFont="1" applyFill="1" applyBorder="1" applyAlignment="1">
      <alignment horizontal="left" vertical="top" wrapText="1"/>
    </xf>
    <xf numFmtId="0" fontId="7" fillId="7" borderId="25" xfId="0" applyFont="1" applyFill="1" applyBorder="1" applyAlignment="1">
      <alignment horizontal="left" vertical="top" wrapText="1"/>
    </xf>
    <xf numFmtId="0" fontId="29" fillId="6" borderId="16" xfId="0" applyFont="1" applyFill="1" applyBorder="1" applyAlignment="1">
      <alignment horizontal="left" vertical="center" wrapText="1"/>
    </xf>
    <xf numFmtId="0" fontId="29" fillId="6" borderId="17" xfId="0" applyFont="1" applyFill="1" applyBorder="1" applyAlignment="1">
      <alignment horizontal="left" vertical="center" wrapText="1"/>
    </xf>
    <xf numFmtId="0" fontId="29" fillId="6" borderId="18" xfId="0" applyFont="1" applyFill="1" applyBorder="1" applyAlignment="1">
      <alignment horizontal="left" vertical="center" wrapText="1"/>
    </xf>
    <xf numFmtId="0" fontId="29" fillId="6" borderId="22" xfId="0" applyFont="1" applyFill="1" applyBorder="1" applyAlignment="1">
      <alignment horizontal="left" vertical="center" wrapText="1"/>
    </xf>
    <xf numFmtId="0" fontId="29" fillId="6" borderId="26" xfId="0" applyFont="1" applyFill="1" applyBorder="1" applyAlignment="1">
      <alignment horizontal="left" vertical="center" wrapText="1"/>
    </xf>
    <xf numFmtId="0" fontId="6" fillId="7" borderId="32" xfId="0" applyFont="1" applyFill="1" applyBorder="1" applyAlignment="1">
      <alignment horizontal="left" vertical="top" wrapText="1"/>
    </xf>
    <xf numFmtId="0" fontId="12" fillId="7" borderId="24" xfId="0" applyFont="1" applyFill="1" applyBorder="1" applyAlignment="1">
      <alignment horizontal="left" vertical="top"/>
    </xf>
    <xf numFmtId="0" fontId="12" fillId="7" borderId="45" xfId="0" applyFont="1" applyFill="1" applyBorder="1" applyAlignment="1">
      <alignment horizontal="left" vertical="top"/>
    </xf>
    <xf numFmtId="0" fontId="12" fillId="7" borderId="25" xfId="0" applyFont="1" applyFill="1" applyBorder="1" applyAlignment="1">
      <alignment horizontal="left" vertical="top"/>
    </xf>
    <xf numFmtId="0" fontId="29" fillId="6" borderId="20" xfId="0" applyFont="1" applyFill="1" applyBorder="1" applyAlignment="1">
      <alignment horizontal="left" vertical="center" wrapText="1"/>
    </xf>
    <xf numFmtId="0" fontId="29" fillId="6" borderId="21" xfId="0" applyFont="1" applyFill="1" applyBorder="1" applyAlignment="1">
      <alignment horizontal="left" vertical="center" wrapText="1"/>
    </xf>
    <xf numFmtId="0" fontId="14" fillId="8" borderId="22" xfId="0" applyFont="1" applyFill="1" applyBorder="1" applyAlignment="1">
      <alignment horizontal="left"/>
    </xf>
    <xf numFmtId="0" fontId="14" fillId="8" borderId="26" xfId="0" applyFont="1" applyFill="1" applyBorder="1" applyAlignment="1">
      <alignment horizontal="left"/>
    </xf>
    <xf numFmtId="0" fontId="14" fillId="8" borderId="23" xfId="0" applyFont="1" applyFill="1" applyBorder="1" applyAlignment="1">
      <alignment horizontal="left"/>
    </xf>
    <xf numFmtId="0" fontId="29" fillId="6" borderId="23" xfId="0" applyFont="1" applyFill="1" applyBorder="1" applyAlignment="1">
      <alignment horizontal="left" vertical="center" wrapText="1"/>
    </xf>
    <xf numFmtId="0" fontId="18" fillId="7" borderId="24" xfId="0" applyFont="1" applyFill="1" applyBorder="1" applyAlignment="1">
      <alignment horizontal="left" vertical="top" wrapText="1"/>
    </xf>
    <xf numFmtId="0" fontId="18" fillId="7" borderId="45" xfId="0" applyFont="1" applyFill="1" applyBorder="1" applyAlignment="1">
      <alignment horizontal="left" vertical="top" wrapText="1"/>
    </xf>
    <xf numFmtId="0" fontId="47" fillId="7" borderId="0" xfId="0" applyFont="1" applyFill="1" applyAlignment="1">
      <alignment horizontal="left" vertical="center"/>
    </xf>
    <xf numFmtId="0" fontId="26" fillId="7" borderId="46" xfId="0" applyFont="1" applyFill="1" applyBorder="1" applyAlignment="1">
      <alignment horizontal="left" vertical="center" wrapText="1"/>
    </xf>
    <xf numFmtId="0" fontId="26" fillId="7" borderId="32" xfId="0" applyFont="1" applyFill="1" applyBorder="1" applyAlignment="1">
      <alignment horizontal="left" vertical="center" wrapText="1"/>
    </xf>
    <xf numFmtId="0" fontId="47" fillId="7" borderId="0" xfId="0" applyFont="1" applyFill="1" applyBorder="1" applyAlignment="1">
      <alignment horizontal="left" vertical="center"/>
    </xf>
    <xf numFmtId="0" fontId="7" fillId="5" borderId="22"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23" xfId="0" applyFont="1" applyFill="1" applyBorder="1" applyAlignment="1">
      <alignment horizontal="left" vertical="center" wrapText="1"/>
    </xf>
    <xf numFmtId="0" fontId="3" fillId="3" borderId="15" xfId="0" applyFont="1" applyFill="1" applyBorder="1" applyAlignment="1">
      <alignment vertical="center" wrapText="1"/>
    </xf>
    <xf numFmtId="0" fontId="34" fillId="2" borderId="22" xfId="0" applyFont="1" applyFill="1" applyBorder="1" applyAlignment="1" applyProtection="1">
      <alignment horizontal="left" vertical="center" wrapText="1"/>
      <protection locked="0"/>
    </xf>
    <xf numFmtId="0" fontId="34" fillId="2" borderId="26" xfId="0" applyFont="1" applyFill="1" applyBorder="1" applyAlignment="1" applyProtection="1">
      <alignment horizontal="left" vertical="center" wrapText="1"/>
      <protection locked="0"/>
    </xf>
    <xf numFmtId="0" fontId="34" fillId="2" borderId="23" xfId="0" applyFont="1" applyFill="1" applyBorder="1" applyAlignment="1" applyProtection="1">
      <alignment horizontal="left" vertical="center" wrapText="1"/>
      <protection locked="0"/>
    </xf>
    <xf numFmtId="14" fontId="3" fillId="2" borderId="22" xfId="0" applyNumberFormat="1"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4" fillId="3" borderId="16" xfId="0" applyFont="1" applyFill="1" applyBorder="1" applyAlignment="1">
      <alignment horizontal="left" vertical="top" wrapText="1"/>
    </xf>
    <xf numFmtId="0" fontId="34" fillId="3" borderId="18" xfId="0" applyFont="1" applyFill="1" applyBorder="1" applyAlignment="1">
      <alignment horizontal="left" vertical="top" wrapText="1"/>
    </xf>
    <xf numFmtId="0" fontId="34" fillId="3" borderId="19" xfId="0" applyFont="1" applyFill="1" applyBorder="1" applyAlignment="1">
      <alignment horizontal="left" vertical="top" wrapText="1"/>
    </xf>
    <xf numFmtId="0" fontId="34" fillId="3" borderId="21" xfId="0" applyFont="1" applyFill="1" applyBorder="1" applyAlignment="1">
      <alignment horizontal="left" vertical="top" wrapText="1"/>
    </xf>
    <xf numFmtId="0" fontId="3" fillId="7" borderId="22" xfId="0" applyFont="1" applyFill="1" applyBorder="1" applyAlignment="1" applyProtection="1">
      <alignment horizontal="left" vertical="top" wrapText="1"/>
      <protection locked="0"/>
    </xf>
    <xf numFmtId="0" fontId="3" fillId="7" borderId="26" xfId="0" applyFont="1" applyFill="1" applyBorder="1" applyAlignment="1" applyProtection="1">
      <alignment horizontal="left" vertical="top" wrapText="1"/>
      <protection locked="0"/>
    </xf>
    <xf numFmtId="0" fontId="3" fillId="7" borderId="23" xfId="0" applyFont="1" applyFill="1" applyBorder="1" applyAlignment="1" applyProtection="1">
      <alignment horizontal="left" vertical="top" wrapText="1"/>
      <protection locked="0"/>
    </xf>
    <xf numFmtId="0" fontId="3" fillId="3" borderId="15" xfId="0" applyFont="1" applyFill="1" applyBorder="1" applyAlignment="1">
      <alignment horizontal="left" vertical="top" wrapText="1"/>
    </xf>
    <xf numFmtId="0" fontId="3" fillId="2" borderId="22" xfId="0" applyFont="1" applyFill="1" applyBorder="1" applyAlignment="1" applyProtection="1">
      <alignment horizontal="left" vertical="center" wrapText="1"/>
      <protection locked="0"/>
    </xf>
    <xf numFmtId="0" fontId="34" fillId="2" borderId="22" xfId="0" applyFont="1" applyFill="1" applyBorder="1" applyAlignment="1" applyProtection="1">
      <alignment horizontal="left" vertical="top" wrapText="1"/>
      <protection locked="0"/>
    </xf>
    <xf numFmtId="0" fontId="34" fillId="2" borderId="26" xfId="0" applyFont="1" applyFill="1" applyBorder="1" applyAlignment="1" applyProtection="1">
      <alignment horizontal="left" vertical="top" wrapText="1"/>
      <protection locked="0"/>
    </xf>
    <xf numFmtId="0" fontId="34" fillId="2" borderId="23" xfId="0" applyFont="1" applyFill="1" applyBorder="1" applyAlignment="1" applyProtection="1">
      <alignment horizontal="left" vertical="top" wrapText="1"/>
      <protection locked="0"/>
    </xf>
    <xf numFmtId="0" fontId="34" fillId="3" borderId="15" xfId="0" applyFont="1" applyFill="1" applyBorder="1" applyAlignment="1">
      <alignment horizontal="left" vertical="top" wrapText="1"/>
    </xf>
    <xf numFmtId="0" fontId="34" fillId="7" borderId="16" xfId="0" applyFont="1" applyFill="1" applyBorder="1" applyAlignment="1">
      <alignment horizontal="left" vertical="top" wrapText="1"/>
    </xf>
    <xf numFmtId="0" fontId="34" fillId="7" borderId="17" xfId="0" applyFont="1" applyFill="1" applyBorder="1" applyAlignment="1">
      <alignment horizontal="left" vertical="top" wrapText="1"/>
    </xf>
    <xf numFmtId="0" fontId="34" fillId="7" borderId="18" xfId="0" applyFont="1" applyFill="1" applyBorder="1" applyAlignment="1">
      <alignment horizontal="left" vertical="top" wrapText="1"/>
    </xf>
    <xf numFmtId="0" fontId="34" fillId="7" borderId="19" xfId="0" applyFont="1" applyFill="1" applyBorder="1" applyAlignment="1">
      <alignment horizontal="left" vertical="top" wrapText="1"/>
    </xf>
    <xf numFmtId="0" fontId="34" fillId="7" borderId="20" xfId="0" applyFont="1" applyFill="1" applyBorder="1" applyAlignment="1">
      <alignment horizontal="left" vertical="top" wrapText="1"/>
    </xf>
    <xf numFmtId="0" fontId="34" fillId="7" borderId="21" xfId="0" applyFont="1" applyFill="1" applyBorder="1" applyAlignment="1">
      <alignment horizontal="left" vertical="top" wrapText="1"/>
    </xf>
    <xf numFmtId="0" fontId="34" fillId="3" borderId="15" xfId="0" applyFont="1" applyFill="1" applyBorder="1" applyAlignment="1">
      <alignment vertical="center" wrapText="1"/>
    </xf>
    <xf numFmtId="0" fontId="34" fillId="7" borderId="22" xfId="0" applyFont="1" applyFill="1" applyBorder="1" applyAlignment="1" applyProtection="1">
      <alignment horizontal="left" vertical="top" wrapText="1"/>
      <protection locked="0"/>
    </xf>
    <xf numFmtId="0" fontId="34" fillId="7" borderId="26" xfId="0" applyFont="1" applyFill="1" applyBorder="1" applyAlignment="1" applyProtection="1">
      <alignment horizontal="left" vertical="top" wrapText="1"/>
      <protection locked="0"/>
    </xf>
    <xf numFmtId="0" fontId="34" fillId="7" borderId="23" xfId="0" applyFont="1" applyFill="1" applyBorder="1" applyAlignment="1" applyProtection="1">
      <alignment horizontal="left" vertical="top" wrapText="1"/>
      <protection locked="0"/>
    </xf>
    <xf numFmtId="0" fontId="3" fillId="3" borderId="15" xfId="0" applyFont="1" applyFill="1" applyBorder="1" applyAlignment="1">
      <alignment vertical="top" wrapText="1"/>
    </xf>
    <xf numFmtId="0" fontId="34" fillId="2" borderId="16" xfId="0" applyFont="1" applyFill="1" applyBorder="1" applyAlignment="1" applyProtection="1">
      <alignment horizontal="left" vertical="top" wrapText="1"/>
      <protection locked="0"/>
    </xf>
    <xf numFmtId="0" fontId="34" fillId="2" borderId="17" xfId="0" applyFont="1" applyFill="1" applyBorder="1" applyAlignment="1" applyProtection="1">
      <alignment horizontal="left" vertical="top" wrapText="1"/>
      <protection locked="0"/>
    </xf>
    <xf numFmtId="0" fontId="34" fillId="2" borderId="18" xfId="0" applyFont="1" applyFill="1" applyBorder="1" applyAlignment="1" applyProtection="1">
      <alignment horizontal="left" vertical="top" wrapText="1"/>
      <protection locked="0"/>
    </xf>
    <xf numFmtId="0" fontId="32" fillId="6" borderId="15" xfId="0" applyFont="1" applyFill="1" applyBorder="1" applyAlignment="1">
      <alignment horizontal="center"/>
    </xf>
    <xf numFmtId="0" fontId="34" fillId="3" borderId="16" xfId="0" applyFont="1" applyFill="1" applyBorder="1" applyAlignment="1">
      <alignment horizontal="left" vertical="center" wrapText="1"/>
    </xf>
    <xf numFmtId="0" fontId="34" fillId="3" borderId="18" xfId="0" applyFont="1" applyFill="1" applyBorder="1" applyAlignment="1">
      <alignment horizontal="left" vertical="center" wrapText="1"/>
    </xf>
    <xf numFmtId="0" fontId="34" fillId="3" borderId="46" xfId="0" applyFont="1" applyFill="1" applyBorder="1" applyAlignment="1">
      <alignment horizontal="left" vertical="center" wrapText="1"/>
    </xf>
    <xf numFmtId="0" fontId="34" fillId="3" borderId="32" xfId="0" applyFont="1" applyFill="1" applyBorder="1" applyAlignment="1">
      <alignment horizontal="left" vertical="center" wrapText="1"/>
    </xf>
    <xf numFmtId="0" fontId="34" fillId="3" borderId="19"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4" fillId="7" borderId="16" xfId="0" applyFont="1" applyFill="1" applyBorder="1" applyAlignment="1">
      <alignment horizontal="left" vertical="center" wrapText="1"/>
    </xf>
    <xf numFmtId="0" fontId="34" fillId="7" borderId="18" xfId="0" applyFont="1" applyFill="1" applyBorder="1" applyAlignment="1">
      <alignment horizontal="left" vertical="center" wrapText="1"/>
    </xf>
    <xf numFmtId="0" fontId="34" fillId="7" borderId="46" xfId="0" applyFont="1" applyFill="1" applyBorder="1" applyAlignment="1">
      <alignment horizontal="left" vertical="center" wrapText="1"/>
    </xf>
    <xf numFmtId="0" fontId="34" fillId="7" borderId="32" xfId="0" applyFont="1" applyFill="1" applyBorder="1" applyAlignment="1">
      <alignment horizontal="left" vertical="center" wrapText="1"/>
    </xf>
    <xf numFmtId="0" fontId="34" fillId="7" borderId="24" xfId="0" applyFont="1" applyFill="1" applyBorder="1" applyAlignment="1">
      <alignment horizontal="left" vertical="center" wrapText="1"/>
    </xf>
    <xf numFmtId="0" fontId="34" fillId="7" borderId="45" xfId="0" applyFont="1" applyFill="1" applyBorder="1" applyAlignment="1">
      <alignment horizontal="left" vertical="center" wrapText="1"/>
    </xf>
    <xf numFmtId="0" fontId="34" fillId="7" borderId="25" xfId="0" applyFont="1" applyFill="1" applyBorder="1" applyAlignment="1">
      <alignment horizontal="left" vertical="center" wrapText="1"/>
    </xf>
    <xf numFmtId="0" fontId="34" fillId="11" borderId="15" xfId="0" applyFont="1" applyFill="1" applyBorder="1" applyAlignment="1">
      <alignment horizontal="left" vertical="center" wrapText="1"/>
    </xf>
    <xf numFmtId="0" fontId="32" fillId="6" borderId="15" xfId="0" applyFont="1" applyFill="1" applyBorder="1" applyAlignment="1">
      <alignment horizontal="center" vertical="center" wrapText="1"/>
    </xf>
    <xf numFmtId="0" fontId="34" fillId="7" borderId="15" xfId="0" applyFont="1" applyFill="1" applyBorder="1" applyAlignment="1">
      <alignment horizontal="left" vertical="top" wrapText="1"/>
    </xf>
    <xf numFmtId="0" fontId="32" fillId="6" borderId="22"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4" fillId="7" borderId="24" xfId="0" applyFont="1" applyFill="1" applyBorder="1" applyAlignment="1">
      <alignment horizontal="left" vertical="top" wrapText="1"/>
    </xf>
    <xf numFmtId="0" fontId="34" fillId="7" borderId="25" xfId="0" applyFont="1" applyFill="1" applyBorder="1" applyAlignment="1">
      <alignment horizontal="left" vertical="top" wrapText="1"/>
    </xf>
    <xf numFmtId="0" fontId="34" fillId="3" borderId="15" xfId="0" applyFont="1" applyFill="1" applyBorder="1" applyAlignment="1">
      <alignment horizontal="left" vertical="center" wrapText="1"/>
    </xf>
    <xf numFmtId="43" fontId="34" fillId="2" borderId="22" xfId="2" applyFont="1" applyFill="1" applyBorder="1" applyAlignment="1" applyProtection="1">
      <alignment horizontal="left" vertical="center" wrapText="1"/>
      <protection locked="0"/>
    </xf>
    <xf numFmtId="43" fontId="34" fillId="2" borderId="26" xfId="2" applyFont="1" applyFill="1" applyBorder="1" applyAlignment="1" applyProtection="1">
      <alignment horizontal="left" vertical="center" wrapText="1"/>
      <protection locked="0"/>
    </xf>
    <xf numFmtId="43" fontId="34" fillId="2" borderId="23" xfId="2" applyFont="1" applyFill="1" applyBorder="1" applyAlignment="1" applyProtection="1">
      <alignment horizontal="left" vertical="center" wrapText="1"/>
      <protection locked="0"/>
    </xf>
    <xf numFmtId="0" fontId="32" fillId="9" borderId="15" xfId="0" applyFont="1" applyFill="1" applyBorder="1" applyAlignment="1">
      <alignment horizontal="center"/>
    </xf>
    <xf numFmtId="0" fontId="5" fillId="7" borderId="16" xfId="0" applyFont="1" applyFill="1" applyBorder="1" applyAlignment="1">
      <alignment horizontal="right" vertical="top" wrapText="1"/>
    </xf>
    <xf numFmtId="0" fontId="5" fillId="7" borderId="19" xfId="0" applyFont="1" applyFill="1" applyBorder="1" applyAlignment="1">
      <alignment horizontal="right" vertical="top" wrapText="1"/>
    </xf>
    <xf numFmtId="0" fontId="5" fillId="7" borderId="17" xfId="0" applyFont="1" applyFill="1" applyBorder="1" applyAlignment="1">
      <alignment horizontal="left" vertical="top" wrapText="1"/>
    </xf>
    <xf numFmtId="0" fontId="5" fillId="7" borderId="18" xfId="0" applyFont="1" applyFill="1" applyBorder="1" applyAlignment="1">
      <alignment horizontal="left" vertical="top" wrapText="1"/>
    </xf>
    <xf numFmtId="0" fontId="5" fillId="7" borderId="20" xfId="0" applyFont="1" applyFill="1" applyBorder="1" applyAlignment="1">
      <alignment horizontal="left" vertical="top" wrapText="1"/>
    </xf>
    <xf numFmtId="0" fontId="33" fillId="5" borderId="15" xfId="0" applyFont="1" applyFill="1" applyBorder="1" applyAlignment="1">
      <alignment horizontal="left" vertical="center" wrapText="1"/>
    </xf>
    <xf numFmtId="0" fontId="39" fillId="6" borderId="15" xfId="0" applyFont="1" applyFill="1" applyBorder="1" applyAlignment="1">
      <alignment horizontal="left" vertical="center" wrapText="1"/>
    </xf>
    <xf numFmtId="0" fontId="39" fillId="6" borderId="24" xfId="0" applyFont="1" applyFill="1" applyBorder="1" applyAlignment="1">
      <alignment horizontal="left" vertical="center" wrapText="1"/>
    </xf>
    <xf numFmtId="0" fontId="3" fillId="3" borderId="22" xfId="0" applyFont="1" applyFill="1" applyBorder="1" applyAlignment="1">
      <alignment horizontal="left" vertical="top" wrapText="1"/>
    </xf>
    <xf numFmtId="0" fontId="44" fillId="3" borderId="16" xfId="0" applyFont="1" applyFill="1" applyBorder="1" applyAlignment="1">
      <alignment horizontal="left" vertical="center" wrapText="1"/>
    </xf>
    <xf numFmtId="0" fontId="44" fillId="3" borderId="18" xfId="0" applyFont="1" applyFill="1" applyBorder="1" applyAlignment="1">
      <alignment horizontal="left" vertical="center" wrapText="1"/>
    </xf>
    <xf numFmtId="0" fontId="44" fillId="3" borderId="19" xfId="0" applyFont="1" applyFill="1" applyBorder="1" applyAlignment="1">
      <alignment horizontal="left" vertical="center" wrapText="1"/>
    </xf>
    <xf numFmtId="0" fontId="44" fillId="3" borderId="21" xfId="0" applyFont="1" applyFill="1" applyBorder="1" applyAlignment="1">
      <alignment horizontal="left" vertical="center" wrapText="1"/>
    </xf>
    <xf numFmtId="0" fontId="32" fillId="6" borderId="15" xfId="0" applyFont="1" applyFill="1" applyBorder="1" applyAlignment="1">
      <alignment horizontal="center" wrapText="1"/>
    </xf>
    <xf numFmtId="0" fontId="34" fillId="2" borderId="15" xfId="0" applyFont="1" applyFill="1" applyBorder="1" applyAlignment="1" applyProtection="1">
      <alignment horizontal="left" vertical="top" wrapText="1"/>
      <protection locked="0"/>
    </xf>
    <xf numFmtId="0" fontId="3" fillId="3" borderId="16"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0" borderId="15" xfId="0" applyFont="1" applyFill="1" applyBorder="1" applyAlignment="1" applyProtection="1">
      <alignment horizontal="left" vertical="top" wrapText="1"/>
      <protection locked="0"/>
    </xf>
    <xf numFmtId="0" fontId="34" fillId="7" borderId="15" xfId="0" applyFont="1" applyFill="1" applyBorder="1" applyAlignment="1">
      <alignment horizontal="center" vertical="top" wrapText="1"/>
    </xf>
    <xf numFmtId="0" fontId="3" fillId="0" borderId="16"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7" borderId="15" xfId="0" applyFont="1" applyFill="1" applyBorder="1" applyAlignment="1">
      <alignment horizontal="left" vertical="top" wrapText="1"/>
    </xf>
    <xf numFmtId="0" fontId="3" fillId="2" borderId="15" xfId="0" applyFont="1" applyFill="1" applyBorder="1" applyAlignment="1" applyProtection="1">
      <alignment horizontal="left" vertical="top" wrapText="1"/>
      <protection locked="0"/>
    </xf>
    <xf numFmtId="0" fontId="33" fillId="5" borderId="16" xfId="0" applyFont="1" applyFill="1" applyBorder="1" applyAlignment="1">
      <alignment horizontal="left" vertical="top" wrapText="1"/>
    </xf>
    <xf numFmtId="0" fontId="33" fillId="5" borderId="17" xfId="0" applyFont="1" applyFill="1" applyBorder="1" applyAlignment="1">
      <alignment horizontal="left" vertical="top" wrapText="1"/>
    </xf>
    <xf numFmtId="0" fontId="32" fillId="6" borderId="16" xfId="0" applyFont="1" applyFill="1" applyBorder="1" applyAlignment="1">
      <alignment horizontal="center" wrapText="1"/>
    </xf>
    <xf numFmtId="0" fontId="32" fillId="6" borderId="18" xfId="0" applyFont="1" applyFill="1" applyBorder="1" applyAlignment="1">
      <alignment horizontal="center" wrapText="1"/>
    </xf>
    <xf numFmtId="0" fontId="32" fillId="6" borderId="19" xfId="0" applyFont="1" applyFill="1" applyBorder="1" applyAlignment="1">
      <alignment horizontal="center" wrapText="1"/>
    </xf>
    <xf numFmtId="0" fontId="32" fillId="6" borderId="21" xfId="0" applyFont="1" applyFill="1" applyBorder="1" applyAlignment="1">
      <alignment horizontal="center" wrapText="1"/>
    </xf>
    <xf numFmtId="0" fontId="32" fillId="6" borderId="24" xfId="0" applyFont="1" applyFill="1" applyBorder="1" applyAlignment="1">
      <alignment horizontal="center" wrapText="1"/>
    </xf>
    <xf numFmtId="0" fontId="32" fillId="6" borderId="25" xfId="0" applyFont="1" applyFill="1" applyBorder="1" applyAlignment="1">
      <alignment horizontal="center" wrapText="1"/>
    </xf>
    <xf numFmtId="0" fontId="33" fillId="5" borderId="22" xfId="0" applyFont="1" applyFill="1" applyBorder="1" applyAlignment="1">
      <alignment horizontal="left" vertical="center" wrapText="1"/>
    </xf>
    <xf numFmtId="0" fontId="33" fillId="5" borderId="26" xfId="0" applyFont="1" applyFill="1" applyBorder="1" applyAlignment="1">
      <alignment horizontal="left" vertical="center" wrapText="1"/>
    </xf>
    <xf numFmtId="0" fontId="33" fillId="5" borderId="23" xfId="0" applyFont="1" applyFill="1" applyBorder="1" applyAlignment="1">
      <alignment horizontal="left" vertical="center" wrapText="1"/>
    </xf>
    <xf numFmtId="0" fontId="33" fillId="6" borderId="16" xfId="0" applyFont="1" applyFill="1" applyBorder="1" applyAlignment="1">
      <alignment horizontal="center" wrapText="1"/>
    </xf>
    <xf numFmtId="0" fontId="33" fillId="6" borderId="17" xfId="0" applyFont="1" applyFill="1" applyBorder="1" applyAlignment="1">
      <alignment horizontal="center" wrapText="1"/>
    </xf>
    <xf numFmtId="0" fontId="33" fillId="6" borderId="18" xfId="0" applyFont="1" applyFill="1" applyBorder="1" applyAlignment="1">
      <alignment horizontal="center" wrapText="1"/>
    </xf>
    <xf numFmtId="0" fontId="33" fillId="6" borderId="19" xfId="0" applyFont="1" applyFill="1" applyBorder="1" applyAlignment="1">
      <alignment horizontal="center" wrapText="1"/>
    </xf>
    <xf numFmtId="0" fontId="33" fillId="6" borderId="20" xfId="0" applyFont="1" applyFill="1" applyBorder="1" applyAlignment="1">
      <alignment horizontal="center" wrapText="1"/>
    </xf>
    <xf numFmtId="0" fontId="33" fillId="6" borderId="21" xfId="0" applyFont="1" applyFill="1" applyBorder="1" applyAlignment="1">
      <alignment horizontal="center" wrapText="1"/>
    </xf>
    <xf numFmtId="0" fontId="3" fillId="2" borderId="16"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3" fillId="3" borderId="15" xfId="0" applyFont="1" applyFill="1" applyBorder="1" applyAlignment="1">
      <alignment horizontal="left" vertical="center" wrapText="1"/>
    </xf>
    <xf numFmtId="0" fontId="34" fillId="6" borderId="16" xfId="0" applyFont="1" applyFill="1" applyBorder="1" applyAlignment="1">
      <alignment horizontal="left" vertical="top" wrapText="1"/>
    </xf>
    <xf numFmtId="0" fontId="34" fillId="6" borderId="18" xfId="0" applyFont="1" applyFill="1" applyBorder="1" applyAlignment="1">
      <alignment horizontal="left" vertical="top" wrapText="1"/>
    </xf>
    <xf numFmtId="0" fontId="34" fillId="6" borderId="19" xfId="0" applyFont="1" applyFill="1" applyBorder="1" applyAlignment="1">
      <alignment horizontal="left" vertical="top" wrapText="1"/>
    </xf>
    <xf numFmtId="0" fontId="34" fillId="6" borderId="21" xfId="0" applyFont="1" applyFill="1" applyBorder="1" applyAlignment="1">
      <alignment horizontal="left" vertical="top" wrapText="1"/>
    </xf>
    <xf numFmtId="0" fontId="24" fillId="0" borderId="15" xfId="0" applyFont="1" applyBorder="1" applyAlignment="1">
      <alignment horizontal="left" vertical="top" wrapText="1"/>
    </xf>
    <xf numFmtId="0" fontId="35" fillId="0" borderId="15" xfId="0" applyFont="1" applyBorder="1" applyAlignment="1">
      <alignment horizontal="center" vertical="top"/>
    </xf>
    <xf numFmtId="0" fontId="24" fillId="0" borderId="22" xfId="0" applyFont="1" applyBorder="1" applyAlignment="1">
      <alignment horizontal="left" vertical="top" wrapText="1"/>
    </xf>
    <xf numFmtId="0" fontId="24" fillId="0" borderId="26" xfId="0" applyFont="1" applyBorder="1" applyAlignment="1">
      <alignment horizontal="left" vertical="top" wrapText="1"/>
    </xf>
    <xf numFmtId="0" fontId="24" fillId="0" borderId="23" xfId="0" applyFont="1" applyBorder="1" applyAlignment="1">
      <alignment horizontal="left" vertical="top" wrapText="1"/>
    </xf>
    <xf numFmtId="167" fontId="2" fillId="0" borderId="15" xfId="2" applyNumberFormat="1" applyFont="1" applyBorder="1" applyAlignment="1">
      <alignment horizontal="center"/>
    </xf>
    <xf numFmtId="167" fontId="2" fillId="0" borderId="29" xfId="2" applyNumberFormat="1" applyFont="1" applyBorder="1" applyAlignment="1">
      <alignment horizontal="center"/>
    </xf>
    <xf numFmtId="2" fontId="2" fillId="0" borderId="15" xfId="2" applyNumberFormat="1" applyFont="1" applyBorder="1" applyAlignment="1">
      <alignment horizontal="center"/>
    </xf>
    <xf numFmtId="2" fontId="2" fillId="0" borderId="29" xfId="2" applyNumberFormat="1" applyFont="1" applyBorder="1" applyAlignment="1">
      <alignment horizontal="center"/>
    </xf>
    <xf numFmtId="0" fontId="24" fillId="0" borderId="50" xfId="0" applyFont="1" applyBorder="1" applyAlignment="1">
      <alignment horizontal="left" vertical="top" wrapText="1"/>
    </xf>
    <xf numFmtId="0" fontId="24" fillId="0" borderId="48" xfId="0" applyFont="1" applyBorder="1" applyAlignment="1">
      <alignment horizontal="left" vertical="top" wrapText="1"/>
    </xf>
    <xf numFmtId="0" fontId="24" fillId="0" borderId="41" xfId="0" applyFont="1" applyBorder="1" applyAlignment="1">
      <alignment horizontal="left" vertical="top" wrapText="1"/>
    </xf>
    <xf numFmtId="0" fontId="24" fillId="0" borderId="30" xfId="0" applyFont="1" applyBorder="1" applyAlignment="1">
      <alignment horizontal="left" vertical="top" wrapText="1"/>
    </xf>
    <xf numFmtId="0" fontId="24" fillId="0" borderId="31" xfId="0" applyFont="1" applyBorder="1" applyAlignment="1">
      <alignment horizontal="left" vertical="top" wrapText="1"/>
    </xf>
    <xf numFmtId="0" fontId="34" fillId="7" borderId="7" xfId="0" applyFont="1" applyFill="1" applyBorder="1" applyAlignment="1">
      <alignment horizontal="center" vertical="top" wrapText="1"/>
    </xf>
    <xf numFmtId="0" fontId="34" fillId="7" borderId="43" xfId="0" applyFont="1" applyFill="1" applyBorder="1" applyAlignment="1">
      <alignment horizontal="center" vertical="top" wrapText="1"/>
    </xf>
    <xf numFmtId="0" fontId="34" fillId="7" borderId="10" xfId="0" applyFont="1" applyFill="1" applyBorder="1" applyAlignment="1">
      <alignment horizontal="center" vertical="top" wrapText="1"/>
    </xf>
    <xf numFmtId="0" fontId="34" fillId="7" borderId="47" xfId="0" applyFont="1" applyFill="1" applyBorder="1" applyAlignment="1">
      <alignment horizontal="center" vertical="top" wrapText="1"/>
    </xf>
    <xf numFmtId="0" fontId="34" fillId="7" borderId="51" xfId="0" applyFont="1" applyFill="1" applyBorder="1" applyAlignment="1">
      <alignment horizontal="center" vertical="top" wrapText="1"/>
    </xf>
    <xf numFmtId="0" fontId="34" fillId="7" borderId="56" xfId="0" applyFont="1" applyFill="1" applyBorder="1" applyAlignment="1">
      <alignment horizontal="center"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7" borderId="33" xfId="0" applyFont="1" applyFill="1" applyBorder="1" applyAlignment="1" applyProtection="1">
      <alignment horizontal="left" vertical="center" wrapText="1"/>
    </xf>
    <xf numFmtId="0" fontId="3" fillId="7" borderId="21" xfId="0" applyFont="1" applyFill="1" applyBorder="1" applyAlignment="1" applyProtection="1">
      <alignment horizontal="left" vertical="center" wrapText="1"/>
    </xf>
    <xf numFmtId="0" fontId="31" fillId="7" borderId="38" xfId="0" applyFont="1" applyFill="1" applyBorder="1" applyAlignment="1">
      <alignment horizontal="left"/>
    </xf>
    <xf numFmtId="0" fontId="31" fillId="7" borderId="18" xfId="0" applyFont="1" applyFill="1" applyBorder="1" applyAlignment="1">
      <alignment horizontal="left"/>
    </xf>
    <xf numFmtId="0" fontId="34" fillId="3" borderId="4" xfId="0" applyFont="1" applyFill="1" applyBorder="1" applyAlignment="1">
      <alignment horizontal="left" vertical="center" wrapText="1"/>
    </xf>
    <xf numFmtId="0" fontId="34" fillId="3" borderId="44" xfId="0" applyFont="1" applyFill="1" applyBorder="1" applyAlignment="1">
      <alignment horizontal="left" vertical="center" wrapText="1"/>
    </xf>
    <xf numFmtId="0" fontId="24" fillId="0" borderId="39" xfId="0" applyFont="1" applyBorder="1" applyAlignment="1">
      <alignment horizontal="left" vertical="top" wrapText="1"/>
    </xf>
    <xf numFmtId="0" fontId="24" fillId="0" borderId="27" xfId="0" applyFont="1" applyBorder="1" applyAlignment="1">
      <alignment horizontal="left" vertical="top" wrapText="1"/>
    </xf>
    <xf numFmtId="0" fontId="24" fillId="0" borderId="28" xfId="0" applyFont="1" applyBorder="1" applyAlignment="1">
      <alignment horizontal="left" vertical="top" wrapText="1"/>
    </xf>
    <xf numFmtId="0" fontId="24" fillId="0" borderId="64" xfId="0" applyFont="1" applyBorder="1" applyAlignment="1">
      <alignment horizontal="left" vertical="top" wrapText="1"/>
    </xf>
    <xf numFmtId="0" fontId="24" fillId="0" borderId="65" xfId="0" applyFont="1" applyBorder="1" applyAlignment="1">
      <alignment horizontal="left" vertical="top" wrapText="1"/>
    </xf>
    <xf numFmtId="0" fontId="24" fillId="0" borderId="66" xfId="0" applyFont="1" applyBorder="1" applyAlignment="1">
      <alignment horizontal="left" vertical="top" wrapText="1"/>
    </xf>
    <xf numFmtId="167" fontId="2" fillId="0" borderId="40" xfId="2" applyNumberFormat="1" applyFont="1" applyBorder="1" applyAlignment="1">
      <alignment horizontal="center"/>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24" fillId="0" borderId="33" xfId="0" applyFont="1" applyBorder="1" applyAlignment="1">
      <alignment horizontal="left" vertical="top" wrapText="1"/>
    </xf>
    <xf numFmtId="0" fontId="24" fillId="0" borderId="20" xfId="0" applyFont="1" applyBorder="1" applyAlignment="1">
      <alignment horizontal="left" vertical="top" wrapText="1"/>
    </xf>
    <xf numFmtId="0" fontId="24" fillId="0" borderId="63" xfId="0" applyFont="1" applyBorder="1" applyAlignment="1">
      <alignment horizontal="left" vertical="top" wrapText="1"/>
    </xf>
    <xf numFmtId="0" fontId="32" fillId="6" borderId="27" xfId="0" applyFont="1" applyFill="1" applyBorder="1" applyAlignment="1">
      <alignment horizontal="center" vertical="center" wrapText="1"/>
    </xf>
    <xf numFmtId="0" fontId="34" fillId="7" borderId="19" xfId="0" applyFont="1" applyFill="1" applyBorder="1" applyAlignment="1">
      <alignment horizontal="left" vertical="center" wrapText="1"/>
    </xf>
    <xf numFmtId="1" fontId="2" fillId="0" borderId="40" xfId="2" applyNumberFormat="1" applyFont="1" applyBorder="1" applyAlignment="1">
      <alignment horizontal="center"/>
    </xf>
    <xf numFmtId="1" fontId="2" fillId="0" borderId="15" xfId="2" applyNumberFormat="1" applyFont="1" applyBorder="1" applyAlignment="1">
      <alignment horizontal="center"/>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0" borderId="13" xfId="0" applyFont="1" applyFill="1" applyBorder="1" applyAlignment="1" applyProtection="1">
      <alignment horizontal="left" vertical="center" wrapText="1"/>
    </xf>
    <xf numFmtId="0" fontId="3" fillId="0" borderId="32"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38"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34" fillId="7" borderId="56" xfId="0" applyFont="1" applyFill="1" applyBorder="1" applyAlignment="1">
      <alignment horizontal="left" vertical="center" wrapText="1"/>
    </xf>
    <xf numFmtId="0" fontId="5" fillId="7" borderId="38" xfId="0" applyFont="1" applyFill="1" applyBorder="1" applyAlignment="1">
      <alignment horizontal="right" vertical="top" wrapText="1"/>
    </xf>
    <xf numFmtId="0" fontId="5" fillId="7" borderId="33" xfId="0" applyFont="1" applyFill="1" applyBorder="1" applyAlignment="1">
      <alignment horizontal="right" vertical="top" wrapText="1"/>
    </xf>
    <xf numFmtId="0" fontId="3" fillId="3" borderId="10"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4" fillId="7" borderId="17" xfId="0" applyFont="1" applyFill="1" applyBorder="1" applyAlignment="1">
      <alignment horizontal="left" vertical="center" wrapText="1"/>
    </xf>
    <xf numFmtId="0" fontId="34" fillId="7" borderId="20" xfId="0" applyFont="1" applyFill="1" applyBorder="1" applyAlignment="1">
      <alignment horizontal="left" vertical="center" wrapText="1"/>
    </xf>
    <xf numFmtId="2" fontId="2" fillId="0" borderId="40" xfId="2" applyNumberFormat="1" applyFont="1" applyBorder="1" applyAlignment="1">
      <alignment horizontal="center"/>
    </xf>
    <xf numFmtId="1" fontId="2" fillId="0" borderId="29" xfId="2" applyNumberFormat="1" applyFont="1" applyBorder="1" applyAlignment="1">
      <alignment horizontal="center"/>
    </xf>
    <xf numFmtId="0" fontId="32" fillId="6" borderId="28" xfId="0" applyFont="1" applyFill="1" applyBorder="1" applyAlignment="1">
      <alignment horizontal="center" vertical="center" wrapText="1"/>
    </xf>
    <xf numFmtId="169" fontId="2" fillId="0" borderId="15" xfId="2" applyNumberFormat="1" applyFont="1" applyBorder="1" applyAlignment="1">
      <alignment horizontal="center"/>
    </xf>
    <xf numFmtId="169" fontId="2" fillId="0" borderId="29" xfId="2" applyNumberFormat="1" applyFont="1" applyBorder="1" applyAlignment="1">
      <alignment horizontal="center"/>
    </xf>
    <xf numFmtId="0" fontId="34" fillId="7" borderId="12" xfId="0" applyFont="1" applyFill="1" applyBorder="1" applyAlignment="1">
      <alignment horizontal="left" vertical="top" wrapText="1"/>
    </xf>
    <xf numFmtId="169" fontId="2" fillId="0" borderId="40" xfId="2" applyNumberFormat="1" applyFont="1" applyBorder="1" applyAlignment="1">
      <alignment horizontal="center"/>
    </xf>
    <xf numFmtId="0" fontId="32" fillId="6" borderId="7" xfId="0" applyFont="1" applyFill="1" applyBorder="1" applyAlignment="1">
      <alignment horizontal="center" vertical="center" wrapText="1"/>
    </xf>
    <xf numFmtId="0" fontId="32" fillId="6" borderId="43" xfId="0" applyFont="1" applyFill="1" applyBorder="1" applyAlignment="1">
      <alignment horizontal="center" vertical="center" wrapText="1"/>
    </xf>
    <xf numFmtId="0" fontId="32" fillId="6" borderId="39" xfId="0" applyFont="1" applyFill="1" applyBorder="1" applyAlignment="1">
      <alignment horizontal="center" vertical="center" wrapText="1"/>
    </xf>
    <xf numFmtId="0" fontId="3" fillId="7" borderId="4" xfId="0" applyFont="1" applyFill="1" applyBorder="1" applyAlignment="1" applyProtection="1">
      <alignment horizontal="left" vertical="center" wrapText="1"/>
      <protection locked="0"/>
    </xf>
    <xf numFmtId="0" fontId="3" fillId="7" borderId="5" xfId="0" applyFont="1" applyFill="1" applyBorder="1" applyAlignment="1" applyProtection="1">
      <alignment horizontal="left" vertical="center" wrapText="1"/>
      <protection locked="0"/>
    </xf>
    <xf numFmtId="0" fontId="3" fillId="7" borderId="6" xfId="0" applyFont="1" applyFill="1" applyBorder="1" applyAlignment="1" applyProtection="1">
      <alignment horizontal="left" vertical="center" wrapText="1"/>
      <protection locked="0"/>
    </xf>
    <xf numFmtId="0" fontId="32" fillId="6" borderId="9" xfId="0" applyFont="1" applyFill="1" applyBorder="1" applyAlignment="1">
      <alignment horizontal="center" vertical="center" wrapText="1"/>
    </xf>
    <xf numFmtId="166" fontId="34" fillId="2" borderId="18" xfId="2" applyNumberFormat="1" applyFont="1" applyFill="1" applyBorder="1" applyAlignment="1">
      <alignment horizontal="center" vertical="center" wrapText="1"/>
    </xf>
    <xf numFmtId="166" fontId="34" fillId="2" borderId="24" xfId="2" applyNumberFormat="1" applyFont="1" applyFill="1" applyBorder="1" applyAlignment="1">
      <alignment horizontal="center" vertical="center" wrapText="1"/>
    </xf>
    <xf numFmtId="43" fontId="34" fillId="2" borderId="24" xfId="2" applyFont="1" applyFill="1" applyBorder="1" applyAlignment="1">
      <alignment horizontal="center" vertical="center" wrapText="1"/>
    </xf>
    <xf numFmtId="166" fontId="34" fillId="2" borderId="16" xfId="2" applyNumberFormat="1" applyFont="1" applyFill="1" applyBorder="1" applyAlignment="1">
      <alignment horizontal="center" vertical="center" wrapText="1"/>
    </xf>
    <xf numFmtId="166" fontId="34" fillId="2" borderId="42" xfId="2" applyNumberFormat="1" applyFont="1" applyFill="1" applyBorder="1" applyAlignment="1">
      <alignment horizontal="center" vertical="center" wrapText="1"/>
    </xf>
    <xf numFmtId="0" fontId="34" fillId="7" borderId="51" xfId="0" applyFont="1" applyFill="1" applyBorder="1" applyAlignment="1">
      <alignment horizontal="left" vertical="top" wrapText="1"/>
    </xf>
    <xf numFmtId="0" fontId="34" fillId="7" borderId="46" xfId="0" applyFont="1" applyFill="1" applyBorder="1" applyAlignment="1">
      <alignment horizontal="left" vertical="top" wrapText="1"/>
    </xf>
    <xf numFmtId="0" fontId="34" fillId="2" borderId="10" xfId="2" applyNumberFormat="1" applyFont="1" applyFill="1" applyBorder="1" applyAlignment="1" applyProtection="1">
      <alignment horizontal="right" vertical="center" wrapText="1"/>
    </xf>
    <xf numFmtId="0" fontId="34" fillId="2" borderId="12" xfId="2" applyNumberFormat="1" applyFont="1" applyFill="1" applyBorder="1" applyAlignment="1" applyProtection="1">
      <alignment horizontal="right" vertical="center" wrapText="1"/>
    </xf>
    <xf numFmtId="0" fontId="34" fillId="2" borderId="11" xfId="2" applyNumberFormat="1" applyFont="1" applyFill="1" applyBorder="1" applyAlignment="1" applyProtection="1">
      <alignment horizontal="right" vertical="center" wrapText="1"/>
    </xf>
    <xf numFmtId="0" fontId="34" fillId="2" borderId="7" xfId="2" applyNumberFormat="1" applyFont="1" applyFill="1" applyBorder="1" applyAlignment="1" applyProtection="1">
      <alignment horizontal="right" vertical="center" wrapText="1"/>
    </xf>
    <xf numFmtId="0" fontId="34" fillId="2" borderId="9" xfId="2" applyNumberFormat="1" applyFont="1" applyFill="1" applyBorder="1" applyAlignment="1" applyProtection="1">
      <alignment horizontal="right" vertical="center" wrapText="1"/>
    </xf>
    <xf numFmtId="0" fontId="34" fillId="2" borderId="8" xfId="2" applyNumberFormat="1" applyFont="1" applyFill="1" applyBorder="1" applyAlignment="1" applyProtection="1">
      <alignment horizontal="right" vertical="center" wrapText="1"/>
    </xf>
    <xf numFmtId="43" fontId="34" fillId="2" borderId="4" xfId="2" applyFont="1" applyFill="1" applyBorder="1" applyAlignment="1" applyProtection="1">
      <alignment horizontal="left" vertical="center" wrapText="1"/>
    </xf>
    <xf numFmtId="43" fontId="34" fillId="2" borderId="5" xfId="2" applyFont="1" applyFill="1" applyBorder="1" applyAlignment="1" applyProtection="1">
      <alignment horizontal="left" vertical="center" wrapText="1"/>
    </xf>
    <xf numFmtId="43" fontId="34" fillId="2" borderId="6" xfId="2" applyFont="1" applyFill="1" applyBorder="1" applyAlignment="1" applyProtection="1">
      <alignment horizontal="left" vertical="center"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3" fillId="2" borderId="7"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4" fillId="2" borderId="4" xfId="0" applyFont="1" applyFill="1" applyBorder="1" applyAlignment="1" applyProtection="1">
      <alignment horizontal="left" vertical="center" wrapText="1"/>
    </xf>
    <xf numFmtId="0" fontId="34" fillId="2" borderId="5" xfId="0" applyFont="1" applyFill="1" applyBorder="1" applyAlignment="1" applyProtection="1">
      <alignment horizontal="left" vertical="center" wrapText="1"/>
    </xf>
    <xf numFmtId="0" fontId="34" fillId="2" borderId="6" xfId="0" applyFont="1" applyFill="1" applyBorder="1" applyAlignment="1" applyProtection="1">
      <alignment horizontal="left" vertical="center" wrapText="1"/>
    </xf>
    <xf numFmtId="0" fontId="34" fillId="2" borderId="54" xfId="0" applyNumberFormat="1" applyFont="1" applyFill="1" applyBorder="1" applyAlignment="1" applyProtection="1">
      <alignment horizontal="center" vertical="center" wrapText="1"/>
    </xf>
    <xf numFmtId="0" fontId="34" fillId="2" borderId="5" xfId="0" applyNumberFormat="1" applyFont="1" applyFill="1" applyBorder="1" applyAlignment="1" applyProtection="1">
      <alignment horizontal="center" vertical="center" wrapText="1"/>
    </xf>
    <xf numFmtId="0" fontId="34" fillId="2" borderId="6" xfId="0" applyNumberFormat="1" applyFont="1" applyFill="1" applyBorder="1" applyAlignment="1" applyProtection="1">
      <alignment horizontal="center" vertical="center" wrapText="1"/>
    </xf>
    <xf numFmtId="0" fontId="3" fillId="6" borderId="4" xfId="0" applyFont="1" applyFill="1" applyBorder="1" applyAlignment="1">
      <alignment horizontal="left" vertical="center" wrapText="1"/>
    </xf>
    <xf numFmtId="0" fontId="3" fillId="6" borderId="6" xfId="0" applyFont="1" applyFill="1" applyBorder="1" applyAlignment="1">
      <alignment horizontal="left" vertical="center" wrapText="1"/>
    </xf>
    <xf numFmtId="168" fontId="2" fillId="0" borderId="40" xfId="2" applyNumberFormat="1" applyFont="1" applyBorder="1" applyAlignment="1">
      <alignment horizontal="center"/>
    </xf>
    <xf numFmtId="168" fontId="2" fillId="0" borderId="15" xfId="2" applyNumberFormat="1" applyFont="1" applyBorder="1" applyAlignment="1">
      <alignment horizontal="center"/>
    </xf>
    <xf numFmtId="168" fontId="2" fillId="0" borderId="29" xfId="2" applyNumberFormat="1" applyFont="1" applyBorder="1" applyAlignment="1">
      <alignment horizontal="center"/>
    </xf>
    <xf numFmtId="168" fontId="2" fillId="0" borderId="39" xfId="2" applyNumberFormat="1" applyFont="1" applyBorder="1" applyAlignment="1">
      <alignment horizontal="center"/>
    </xf>
    <xf numFmtId="168" fontId="2" fillId="0" borderId="27" xfId="2" applyNumberFormat="1" applyFont="1" applyBorder="1" applyAlignment="1">
      <alignment horizontal="center"/>
    </xf>
    <xf numFmtId="168" fontId="2" fillId="0" borderId="28" xfId="2" applyNumberFormat="1" applyFont="1" applyBorder="1" applyAlignment="1">
      <alignment horizontal="center"/>
    </xf>
    <xf numFmtId="0" fontId="34" fillId="7" borderId="7" xfId="0" applyFont="1" applyFill="1" applyBorder="1" applyAlignment="1">
      <alignment horizontal="left" vertical="top" wrapText="1"/>
    </xf>
    <xf numFmtId="0" fontId="34" fillId="7" borderId="9" xfId="0" applyFont="1" applyFill="1" applyBorder="1" applyAlignment="1">
      <alignment horizontal="left" vertical="top" wrapText="1"/>
    </xf>
    <xf numFmtId="0" fontId="34" fillId="7" borderId="13" xfId="0" applyFont="1" applyFill="1" applyBorder="1" applyAlignment="1">
      <alignment horizontal="left" vertical="top" wrapText="1"/>
    </xf>
    <xf numFmtId="0" fontId="34" fillId="7" borderId="0" xfId="0" applyFont="1" applyFill="1" applyBorder="1" applyAlignment="1">
      <alignment horizontal="left" vertical="top" wrapText="1"/>
    </xf>
    <xf numFmtId="0" fontId="34" fillId="7" borderId="38" xfId="0" applyFont="1" applyFill="1" applyBorder="1" applyAlignment="1">
      <alignment horizontal="left" vertical="top" wrapText="1"/>
    </xf>
    <xf numFmtId="0" fontId="34" fillId="7" borderId="53" xfId="0" applyFont="1" applyFill="1" applyBorder="1" applyAlignment="1">
      <alignment horizontal="left" vertical="top" wrapText="1"/>
    </xf>
    <xf numFmtId="0" fontId="34" fillId="7" borderId="10" xfId="0" applyFont="1" applyFill="1" applyBorder="1" applyAlignment="1">
      <alignment horizontal="left" vertical="top" wrapText="1"/>
    </xf>
    <xf numFmtId="0" fontId="34" fillId="7" borderId="11" xfId="0" applyFont="1" applyFill="1" applyBorder="1" applyAlignment="1">
      <alignment horizontal="left" vertical="top" wrapText="1"/>
    </xf>
    <xf numFmtId="0" fontId="33" fillId="5" borderId="4" xfId="0" applyFont="1" applyFill="1" applyBorder="1" applyAlignment="1">
      <alignment vertical="center" wrapText="1"/>
    </xf>
    <xf numFmtId="0" fontId="33" fillId="5" borderId="5" xfId="0" applyFont="1" applyFill="1" applyBorder="1" applyAlignment="1">
      <alignment vertical="center" wrapText="1"/>
    </xf>
    <xf numFmtId="0" fontId="33" fillId="5" borderId="6" xfId="0" applyFont="1" applyFill="1" applyBorder="1" applyAlignment="1">
      <alignment vertical="center" wrapText="1"/>
    </xf>
    <xf numFmtId="2" fontId="34" fillId="2" borderId="10" xfId="2" applyNumberFormat="1" applyFont="1" applyFill="1" applyBorder="1" applyAlignment="1" applyProtection="1">
      <alignment horizontal="right" vertical="center" wrapText="1"/>
    </xf>
    <xf numFmtId="2" fontId="34" fillId="2" borderId="12" xfId="2" applyNumberFormat="1" applyFont="1" applyFill="1" applyBorder="1" applyAlignment="1" applyProtection="1">
      <alignment horizontal="right" vertical="center" wrapText="1"/>
    </xf>
    <xf numFmtId="2" fontId="34" fillId="2" borderId="11" xfId="2" applyNumberFormat="1" applyFont="1" applyFill="1" applyBorder="1" applyAlignment="1" applyProtection="1">
      <alignment horizontal="right" vertical="center" wrapText="1"/>
    </xf>
    <xf numFmtId="166" fontId="34" fillId="2" borderId="23" xfId="2" applyNumberFormat="1" applyFont="1" applyFill="1" applyBorder="1" applyAlignment="1">
      <alignment horizontal="center" vertical="center" wrapText="1"/>
    </xf>
    <xf numFmtId="166" fontId="34" fillId="2" borderId="15" xfId="2" applyNumberFormat="1" applyFont="1" applyFill="1" applyBorder="1" applyAlignment="1">
      <alignment horizontal="center" vertical="center" wrapText="1"/>
    </xf>
    <xf numFmtId="166" fontId="34" fillId="2" borderId="22" xfId="2" applyNumberFormat="1" applyFont="1" applyFill="1" applyBorder="1" applyAlignment="1">
      <alignment horizontal="center" vertical="center" wrapText="1"/>
    </xf>
    <xf numFmtId="166" fontId="34" fillId="2" borderId="29" xfId="2" applyNumberFormat="1" applyFont="1" applyFill="1" applyBorder="1" applyAlignment="1">
      <alignment horizontal="center" vertical="center" wrapText="1"/>
    </xf>
    <xf numFmtId="0" fontId="34" fillId="3" borderId="13"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62" fillId="16" borderId="1" xfId="0" applyFont="1" applyFill="1" applyBorder="1" applyAlignment="1">
      <alignment vertical="center" wrapText="1"/>
    </xf>
    <xf numFmtId="0" fontId="62" fillId="16" borderId="2" xfId="0" applyFont="1" applyFill="1" applyBorder="1" applyAlignment="1">
      <alignment vertical="center" wrapText="1"/>
    </xf>
    <xf numFmtId="0" fontId="62" fillId="16" borderId="3" xfId="0" applyFont="1" applyFill="1" applyBorder="1" applyAlignment="1">
      <alignment vertical="center" wrapText="1"/>
    </xf>
    <xf numFmtId="0" fontId="3" fillId="3" borderId="4" xfId="0" applyFont="1" applyFill="1" applyBorder="1" applyAlignment="1">
      <alignment vertical="center" wrapText="1"/>
    </xf>
    <xf numFmtId="0" fontId="3" fillId="3" borderId="6" xfId="0" applyFont="1" applyFill="1" applyBorder="1" applyAlignment="1">
      <alignment vertical="center" wrapText="1"/>
    </xf>
    <xf numFmtId="14" fontId="3" fillId="2" borderId="7" xfId="0" applyNumberFormat="1" applyFont="1" applyFill="1" applyBorder="1" applyAlignment="1" applyProtection="1">
      <alignment horizontal="left" vertical="center" wrapText="1"/>
    </xf>
    <xf numFmtId="14" fontId="3" fillId="2" borderId="9" xfId="0" applyNumberFormat="1" applyFont="1" applyFill="1" applyBorder="1" applyAlignment="1" applyProtection="1">
      <alignment horizontal="left" vertical="center" wrapText="1"/>
    </xf>
    <xf numFmtId="14" fontId="3" fillId="2" borderId="8" xfId="0" applyNumberFormat="1" applyFont="1" applyFill="1" applyBorder="1" applyAlignment="1" applyProtection="1">
      <alignment horizontal="left" vertical="center" wrapText="1"/>
    </xf>
    <xf numFmtId="0" fontId="3" fillId="7" borderId="41" xfId="0" applyFont="1" applyFill="1" applyBorder="1" applyAlignment="1" applyProtection="1">
      <alignment horizontal="left" vertical="top" wrapText="1"/>
    </xf>
    <xf numFmtId="0" fontId="3" fillId="7" borderId="30" xfId="0" applyFont="1" applyFill="1" applyBorder="1" applyAlignment="1" applyProtection="1">
      <alignment horizontal="left" vertical="top" wrapText="1"/>
    </xf>
    <xf numFmtId="0" fontId="3" fillId="7" borderId="31" xfId="0" applyFont="1" applyFill="1" applyBorder="1" applyAlignment="1" applyProtection="1">
      <alignment horizontal="left" vertical="top" wrapText="1"/>
    </xf>
    <xf numFmtId="0" fontId="34" fillId="3" borderId="4" xfId="0" applyFont="1" applyFill="1" applyBorder="1" applyAlignment="1">
      <alignment vertical="center" wrapText="1"/>
    </xf>
    <xf numFmtId="0" fontId="34" fillId="3" borderId="6" xfId="0" applyFont="1" applyFill="1" applyBorder="1" applyAlignment="1">
      <alignment vertical="center" wrapText="1"/>
    </xf>
    <xf numFmtId="0" fontId="34" fillId="3" borderId="7"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34" fillId="3" borderId="12" xfId="0" applyFont="1" applyFill="1" applyBorder="1" applyAlignment="1">
      <alignment horizontal="left" vertical="center" wrapText="1"/>
    </xf>
    <xf numFmtId="0" fontId="3" fillId="7" borderId="39" xfId="0" applyFont="1" applyFill="1" applyBorder="1" applyAlignment="1" applyProtection="1">
      <alignment horizontal="left" vertical="top" wrapText="1"/>
    </xf>
    <xf numFmtId="0" fontId="3" fillId="7" borderId="27" xfId="0" applyFont="1" applyFill="1" applyBorder="1" applyAlignment="1" applyProtection="1">
      <alignment horizontal="left" vertical="top" wrapText="1"/>
    </xf>
    <xf numFmtId="0" fontId="3" fillId="7" borderId="28" xfId="0" applyFont="1" applyFill="1" applyBorder="1" applyAlignment="1" applyProtection="1">
      <alignment horizontal="left" vertical="top"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10"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0" fontId="3" fillId="2" borderId="11" xfId="0" applyFont="1" applyFill="1" applyBorder="1" applyAlignment="1" applyProtection="1">
      <alignment horizontal="left" vertical="top" wrapText="1"/>
    </xf>
    <xf numFmtId="0" fontId="33" fillId="5" borderId="7" xfId="0" applyFont="1" applyFill="1" applyBorder="1" applyAlignment="1">
      <alignment vertical="center" wrapText="1"/>
    </xf>
    <xf numFmtId="0" fontId="33" fillId="5" borderId="9" xfId="0" applyFont="1" applyFill="1" applyBorder="1" applyAlignment="1">
      <alignment vertical="center" wrapText="1"/>
    </xf>
    <xf numFmtId="0" fontId="33" fillId="5" borderId="8" xfId="0" applyFont="1" applyFill="1" applyBorder="1" applyAlignment="1">
      <alignment vertical="center" wrapText="1"/>
    </xf>
    <xf numFmtId="0" fontId="3" fillId="3" borderId="5" xfId="0" applyFont="1" applyFill="1" applyBorder="1" applyAlignment="1">
      <alignment vertical="center" wrapText="1"/>
    </xf>
    <xf numFmtId="0" fontId="3" fillId="3" borderId="4"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2" fillId="6" borderId="35" xfId="0" applyFont="1" applyFill="1" applyBorder="1" applyAlignment="1">
      <alignment horizontal="center" vertical="center" wrapText="1"/>
    </xf>
    <xf numFmtId="0" fontId="32" fillId="6" borderId="36" xfId="0" applyFont="1" applyFill="1" applyBorder="1" applyAlignment="1">
      <alignment horizontal="center" vertical="center" wrapText="1"/>
    </xf>
    <xf numFmtId="0" fontId="32" fillId="6" borderId="34" xfId="0" applyFont="1" applyFill="1" applyBorder="1" applyAlignment="1">
      <alignment horizontal="center" vertical="center" wrapText="1"/>
    </xf>
    <xf numFmtId="0" fontId="32" fillId="6" borderId="37" xfId="0" applyFont="1" applyFill="1" applyBorder="1" applyAlignment="1">
      <alignment horizontal="center" vertical="center" wrapText="1"/>
    </xf>
    <xf numFmtId="0" fontId="32" fillId="6" borderId="52"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0" borderId="40" xfId="0"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0" fontId="3" fillId="0" borderId="41"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7" borderId="22" xfId="0" applyFont="1" applyFill="1" applyBorder="1" applyAlignment="1">
      <alignment horizontal="center" vertical="top" wrapText="1"/>
    </xf>
    <xf numFmtId="0" fontId="3" fillId="7" borderId="57" xfId="0" applyFont="1" applyFill="1" applyBorder="1" applyAlignment="1">
      <alignment horizontal="center" vertical="top" wrapText="1"/>
    </xf>
    <xf numFmtId="0" fontId="52" fillId="13" borderId="58" xfId="0" applyFont="1" applyFill="1" applyBorder="1" applyAlignment="1">
      <alignment vertical="center" wrapText="1"/>
    </xf>
    <xf numFmtId="0" fontId="52" fillId="13" borderId="59" xfId="0" applyFont="1" applyFill="1" applyBorder="1" applyAlignment="1">
      <alignment vertical="center" wrapText="1"/>
    </xf>
    <xf numFmtId="0" fontId="52" fillId="13" borderId="58" xfId="0" applyFont="1" applyFill="1" applyBorder="1" applyAlignment="1">
      <alignment horizontal="center" vertical="center" wrapText="1"/>
    </xf>
    <xf numFmtId="0" fontId="52" fillId="13" borderId="59" xfId="0" applyFont="1" applyFill="1" applyBorder="1" applyAlignment="1">
      <alignment horizontal="center" vertical="center" wrapText="1"/>
    </xf>
  </cellXfs>
  <cellStyles count="4">
    <cellStyle name="Comma" xfId="2" builtinId="3"/>
    <cellStyle name="Hyperlink" xfId="1" builtinId="8"/>
    <cellStyle name="Normal" xfId="0" builtinId="0"/>
    <cellStyle name="Percent" xfId="3" builtinId="5"/>
  </cellStyles>
  <dxfs count="655">
    <dxf>
      <font>
        <b val="0"/>
        <i/>
        <color theme="1" tint="0.499984740745262"/>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s>
  <tableStyles count="0" defaultTableStyle="TableStyleMedium9" defaultPivotStyle="PivotStyleMedium7"/>
  <colors>
    <mruColors>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Calculations!$E$161</c:f>
              <c:strCache>
                <c:ptCount val="1"/>
                <c:pt idx="0">
                  <c:v>SDE++ 2020 (min)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Calculations!$F$160:$I$160</c:f>
              <c:numCache>
                <c:formatCode>General</c:formatCode>
                <c:ptCount val="4"/>
                <c:pt idx="0">
                  <c:v>2020</c:v>
                </c:pt>
                <c:pt idx="1">
                  <c:v>2021</c:v>
                </c:pt>
                <c:pt idx="2">
                  <c:v>2022</c:v>
                </c:pt>
                <c:pt idx="3">
                  <c:v>2023</c:v>
                </c:pt>
              </c:numCache>
            </c:numRef>
          </c:cat>
          <c:val>
            <c:numRef>
              <c:f>Calculations!$F$161:$I$161</c:f>
              <c:numCache>
                <c:formatCode>General</c:formatCode>
                <c:ptCount val="4"/>
                <c:pt idx="1">
                  <c:v>650</c:v>
                </c:pt>
                <c:pt idx="2">
                  <c:v>630</c:v>
                </c:pt>
                <c:pt idx="3">
                  <c:v>590</c:v>
                </c:pt>
              </c:numCache>
            </c:numRef>
          </c:val>
          <c:smooth val="0"/>
          <c:extLst>
            <c:ext xmlns:c16="http://schemas.microsoft.com/office/drawing/2014/chart" uri="{C3380CC4-5D6E-409C-BE32-E72D297353CC}">
              <c16:uniqueId val="{00000000-F369-455F-9BA9-FAB5F7A0AD23}"/>
            </c:ext>
          </c:extLst>
        </c:ser>
        <c:ser>
          <c:idx val="1"/>
          <c:order val="1"/>
          <c:tx>
            <c:strRef>
              <c:f>Calculations!$E$162</c:f>
              <c:strCache>
                <c:ptCount val="1"/>
                <c:pt idx="0">
                  <c:v>SDE++ 2020 (max)</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Calculations!$F$160:$I$160</c:f>
              <c:numCache>
                <c:formatCode>General</c:formatCode>
                <c:ptCount val="4"/>
                <c:pt idx="0">
                  <c:v>2020</c:v>
                </c:pt>
                <c:pt idx="1">
                  <c:v>2021</c:v>
                </c:pt>
                <c:pt idx="2">
                  <c:v>2022</c:v>
                </c:pt>
                <c:pt idx="3">
                  <c:v>2023</c:v>
                </c:pt>
              </c:numCache>
            </c:numRef>
          </c:cat>
          <c:val>
            <c:numRef>
              <c:f>Calculations!$F$162:$I$162</c:f>
              <c:numCache>
                <c:formatCode>General</c:formatCode>
                <c:ptCount val="4"/>
                <c:pt idx="1">
                  <c:v>700</c:v>
                </c:pt>
                <c:pt idx="2">
                  <c:v>680</c:v>
                </c:pt>
                <c:pt idx="3">
                  <c:v>640</c:v>
                </c:pt>
              </c:numCache>
            </c:numRef>
          </c:val>
          <c:smooth val="0"/>
          <c:extLst>
            <c:ext xmlns:c16="http://schemas.microsoft.com/office/drawing/2014/chart" uri="{C3380CC4-5D6E-409C-BE32-E72D297353CC}">
              <c16:uniqueId val="{00000001-F369-455F-9BA9-FAB5F7A0AD23}"/>
            </c:ext>
          </c:extLst>
        </c:ser>
        <c:ser>
          <c:idx val="2"/>
          <c:order val="2"/>
          <c:tx>
            <c:strRef>
              <c:f>Calculations!$E$163</c:f>
              <c:strCache>
                <c:ptCount val="1"/>
                <c:pt idx="0">
                  <c:v>SDE++ 2019 (min)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Calculations!$F$160:$I$160</c:f>
              <c:numCache>
                <c:formatCode>General</c:formatCode>
                <c:ptCount val="4"/>
                <c:pt idx="0">
                  <c:v>2020</c:v>
                </c:pt>
                <c:pt idx="1">
                  <c:v>2021</c:v>
                </c:pt>
                <c:pt idx="2">
                  <c:v>2022</c:v>
                </c:pt>
                <c:pt idx="3">
                  <c:v>2023</c:v>
                </c:pt>
              </c:numCache>
            </c:numRef>
          </c:cat>
          <c:val>
            <c:numRef>
              <c:f>Calculations!$F$163:$I$163</c:f>
              <c:numCache>
                <c:formatCode>General</c:formatCode>
                <c:ptCount val="4"/>
                <c:pt idx="0">
                  <c:v>750</c:v>
                </c:pt>
                <c:pt idx="1">
                  <c:v>730</c:v>
                </c:pt>
                <c:pt idx="2">
                  <c:v>700</c:v>
                </c:pt>
              </c:numCache>
            </c:numRef>
          </c:val>
          <c:smooth val="0"/>
          <c:extLst>
            <c:ext xmlns:c16="http://schemas.microsoft.com/office/drawing/2014/chart" uri="{C3380CC4-5D6E-409C-BE32-E72D297353CC}">
              <c16:uniqueId val="{00000002-F369-455F-9BA9-FAB5F7A0AD23}"/>
            </c:ext>
          </c:extLst>
        </c:ser>
        <c:ser>
          <c:idx val="3"/>
          <c:order val="3"/>
          <c:tx>
            <c:strRef>
              <c:f>Calculations!$E$164</c:f>
              <c:strCache>
                <c:ptCount val="1"/>
                <c:pt idx="0">
                  <c:v>SDE++ 2019 (max)</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Calculations!$F$160:$I$160</c:f>
              <c:numCache>
                <c:formatCode>General</c:formatCode>
                <c:ptCount val="4"/>
                <c:pt idx="0">
                  <c:v>2020</c:v>
                </c:pt>
                <c:pt idx="1">
                  <c:v>2021</c:v>
                </c:pt>
                <c:pt idx="2">
                  <c:v>2022</c:v>
                </c:pt>
                <c:pt idx="3">
                  <c:v>2023</c:v>
                </c:pt>
              </c:numCache>
            </c:numRef>
          </c:cat>
          <c:val>
            <c:numRef>
              <c:f>Calculations!$F$164:$I$164</c:f>
              <c:numCache>
                <c:formatCode>General</c:formatCode>
                <c:ptCount val="4"/>
                <c:pt idx="0">
                  <c:v>770</c:v>
                </c:pt>
                <c:pt idx="1">
                  <c:v>750</c:v>
                </c:pt>
                <c:pt idx="2">
                  <c:v>740</c:v>
                </c:pt>
              </c:numCache>
            </c:numRef>
          </c:val>
          <c:smooth val="0"/>
          <c:extLst>
            <c:ext xmlns:c16="http://schemas.microsoft.com/office/drawing/2014/chart" uri="{C3380CC4-5D6E-409C-BE32-E72D297353CC}">
              <c16:uniqueId val="{00000003-F369-455F-9BA9-FAB5F7A0AD23}"/>
            </c:ext>
          </c:extLst>
        </c:ser>
        <c:dLbls>
          <c:showLegendKey val="0"/>
          <c:showVal val="0"/>
          <c:showCatName val="0"/>
          <c:showSerName val="0"/>
          <c:showPercent val="0"/>
          <c:showBubbleSize val="0"/>
        </c:dLbls>
        <c:marker val="1"/>
        <c:smooth val="0"/>
        <c:axId val="811033808"/>
        <c:axId val="811033152"/>
      </c:lineChart>
      <c:catAx>
        <c:axId val="81103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1033152"/>
        <c:crosses val="autoZero"/>
        <c:auto val="1"/>
        <c:lblAlgn val="ctr"/>
        <c:lblOffset val="100"/>
        <c:noMultiLvlLbl val="0"/>
      </c:catAx>
      <c:valAx>
        <c:axId val="811033152"/>
        <c:scaling>
          <c:orientation val="minMax"/>
          <c:min val="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1033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2479577689780196E-2"/>
          <c:y val="9.317821664469958E-2"/>
          <c:w val="0.92756195573480749"/>
          <c:h val="0.69466861551590209"/>
        </c:manualLayout>
      </c:layout>
      <c:scatterChart>
        <c:scatterStyle val="lineMarker"/>
        <c:varyColors val="0"/>
        <c:ser>
          <c:idx val="0"/>
          <c:order val="0"/>
          <c:tx>
            <c:strRef>
              <c:f>Calculations!$AA$181</c:f>
              <c:strCache>
                <c:ptCount val="1"/>
                <c:pt idx="0">
                  <c:v>Totaal &lt; 1 MWp Min (NJ)</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Calculations!$AB$178:$AD$178</c:f>
              <c:numCache>
                <c:formatCode>General</c:formatCode>
                <c:ptCount val="3"/>
                <c:pt idx="0">
                  <c:v>2020</c:v>
                </c:pt>
                <c:pt idx="1">
                  <c:v>2030</c:v>
                </c:pt>
                <c:pt idx="2">
                  <c:v>2050</c:v>
                </c:pt>
              </c:numCache>
            </c:numRef>
          </c:xVal>
          <c:yVal>
            <c:numRef>
              <c:f>Calculations!$AB$181:$AD$181</c:f>
              <c:numCache>
                <c:formatCode>0</c:formatCode>
                <c:ptCount val="3"/>
                <c:pt idx="0">
                  <c:v>638.72788285539957</c:v>
                </c:pt>
                <c:pt idx="1">
                  <c:v>466.60042168961161</c:v>
                </c:pt>
                <c:pt idx="2">
                  <c:v>234.56585394161308</c:v>
                </c:pt>
              </c:numCache>
            </c:numRef>
          </c:yVal>
          <c:smooth val="0"/>
          <c:extLst>
            <c:ext xmlns:c16="http://schemas.microsoft.com/office/drawing/2014/chart" uri="{C3380CC4-5D6E-409C-BE32-E72D297353CC}">
              <c16:uniqueId val="{00000000-267C-44F6-83D2-E25E5428376E}"/>
            </c:ext>
          </c:extLst>
        </c:ser>
        <c:ser>
          <c:idx val="1"/>
          <c:order val="1"/>
          <c:tx>
            <c:strRef>
              <c:f>Calculations!$AA$182</c:f>
              <c:strCache>
                <c:ptCount val="1"/>
                <c:pt idx="0">
                  <c:v>Totaal &lt; 1 MWp Max (VJ)</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Calculations!$AB$178:$AD$178</c:f>
              <c:numCache>
                <c:formatCode>General</c:formatCode>
                <c:ptCount val="3"/>
                <c:pt idx="0">
                  <c:v>2020</c:v>
                </c:pt>
                <c:pt idx="1">
                  <c:v>2030</c:v>
                </c:pt>
                <c:pt idx="2">
                  <c:v>2050</c:v>
                </c:pt>
              </c:numCache>
            </c:numRef>
          </c:xVal>
          <c:yVal>
            <c:numRef>
              <c:f>Calculations!$AB$182:$AD$182</c:f>
              <c:numCache>
                <c:formatCode>0</c:formatCode>
                <c:ptCount val="3"/>
                <c:pt idx="0">
                  <c:v>686.39414276998161</c:v>
                </c:pt>
                <c:pt idx="1">
                  <c:v>579.43362052219311</c:v>
                </c:pt>
                <c:pt idx="2">
                  <c:v>466.31709699395611</c:v>
                </c:pt>
              </c:numCache>
            </c:numRef>
          </c:yVal>
          <c:smooth val="0"/>
          <c:extLst>
            <c:ext xmlns:c16="http://schemas.microsoft.com/office/drawing/2014/chart" uri="{C3380CC4-5D6E-409C-BE32-E72D297353CC}">
              <c16:uniqueId val="{00000001-267C-44F6-83D2-E25E5428376E}"/>
            </c:ext>
          </c:extLst>
        </c:ser>
        <c:ser>
          <c:idx val="2"/>
          <c:order val="2"/>
          <c:tx>
            <c:strRef>
              <c:f>Calculations!$AA$183</c:f>
              <c:strCache>
                <c:ptCount val="1"/>
                <c:pt idx="0">
                  <c:v>Totaal &gt; 1 MWp dak Min (NJ)</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Calculations!$AB$178:$AD$178</c:f>
              <c:numCache>
                <c:formatCode>General</c:formatCode>
                <c:ptCount val="3"/>
                <c:pt idx="0">
                  <c:v>2020</c:v>
                </c:pt>
                <c:pt idx="1">
                  <c:v>2030</c:v>
                </c:pt>
                <c:pt idx="2">
                  <c:v>2050</c:v>
                </c:pt>
              </c:numCache>
            </c:numRef>
          </c:xVal>
          <c:yVal>
            <c:numRef>
              <c:f>Calculations!$AB$183:$AD$183</c:f>
              <c:numCache>
                <c:formatCode>0</c:formatCode>
                <c:ptCount val="3"/>
                <c:pt idx="0">
                  <c:v>630.14795607077485</c:v>
                </c:pt>
                <c:pt idx="1">
                  <c:v>460.33265483109443</c:v>
                </c:pt>
                <c:pt idx="2">
                  <c:v>231.41496933642722</c:v>
                </c:pt>
              </c:numCache>
            </c:numRef>
          </c:yVal>
          <c:smooth val="0"/>
          <c:extLst>
            <c:ext xmlns:c16="http://schemas.microsoft.com/office/drawing/2014/chart" uri="{C3380CC4-5D6E-409C-BE32-E72D297353CC}">
              <c16:uniqueId val="{00000002-267C-44F6-83D2-E25E5428376E}"/>
            </c:ext>
          </c:extLst>
        </c:ser>
        <c:ser>
          <c:idx val="3"/>
          <c:order val="3"/>
          <c:tx>
            <c:strRef>
              <c:f>Calculations!$AA$184</c:f>
              <c:strCache>
                <c:ptCount val="1"/>
                <c:pt idx="0">
                  <c:v>Totaal &gt; 1 MWp dak Max (VJ)</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Calculations!$AB$178:$AD$178</c:f>
              <c:numCache>
                <c:formatCode>General</c:formatCode>
                <c:ptCount val="3"/>
                <c:pt idx="0">
                  <c:v>2020</c:v>
                </c:pt>
                <c:pt idx="1">
                  <c:v>2030</c:v>
                </c:pt>
                <c:pt idx="2">
                  <c:v>2050</c:v>
                </c:pt>
              </c:numCache>
            </c:numRef>
          </c:xVal>
          <c:yVal>
            <c:numRef>
              <c:f>Calculations!$AB$184:$AD$184</c:f>
              <c:numCache>
                <c:formatCode>0</c:formatCode>
                <c:ptCount val="3"/>
                <c:pt idx="0">
                  <c:v>677.8142159853569</c:v>
                </c:pt>
                <c:pt idx="1">
                  <c:v>572.19070026566567</c:v>
                </c:pt>
                <c:pt idx="2">
                  <c:v>460.4881332815317</c:v>
                </c:pt>
              </c:numCache>
            </c:numRef>
          </c:yVal>
          <c:smooth val="0"/>
          <c:extLst>
            <c:ext xmlns:c16="http://schemas.microsoft.com/office/drawing/2014/chart" uri="{C3380CC4-5D6E-409C-BE32-E72D297353CC}">
              <c16:uniqueId val="{00000003-267C-44F6-83D2-E25E5428376E}"/>
            </c:ext>
          </c:extLst>
        </c:ser>
        <c:ser>
          <c:idx val="4"/>
          <c:order val="4"/>
          <c:tx>
            <c:strRef>
              <c:f>Calculations!$AA$185</c:f>
              <c:strCache>
                <c:ptCount val="1"/>
                <c:pt idx="0">
                  <c:v>Totaal &gt; 1 MWp veld Min (NJ)</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Calculations!$AB$178:$AD$178</c:f>
              <c:numCache>
                <c:formatCode>General</c:formatCode>
                <c:ptCount val="3"/>
                <c:pt idx="0">
                  <c:v>2020</c:v>
                </c:pt>
                <c:pt idx="1">
                  <c:v>2030</c:v>
                </c:pt>
                <c:pt idx="2">
                  <c:v>2050</c:v>
                </c:pt>
              </c:numCache>
            </c:numRef>
          </c:xVal>
          <c:yVal>
            <c:numRef>
              <c:f>Calculations!$AB$185:$AD$185</c:f>
              <c:numCache>
                <c:formatCode>0</c:formatCode>
                <c:ptCount val="3"/>
                <c:pt idx="0">
                  <c:v>563.4151921903599</c:v>
                </c:pt>
                <c:pt idx="1">
                  <c:v>411.58335704262754</c:v>
                </c:pt>
                <c:pt idx="2">
                  <c:v>206.90808907387063</c:v>
                </c:pt>
              </c:numCache>
            </c:numRef>
          </c:yVal>
          <c:smooth val="0"/>
          <c:extLst>
            <c:ext xmlns:c16="http://schemas.microsoft.com/office/drawing/2014/chart" uri="{C3380CC4-5D6E-409C-BE32-E72D297353CC}">
              <c16:uniqueId val="{00000004-267C-44F6-83D2-E25E5428376E}"/>
            </c:ext>
          </c:extLst>
        </c:ser>
        <c:ser>
          <c:idx val="5"/>
          <c:order val="5"/>
          <c:tx>
            <c:strRef>
              <c:f>Calculations!$AA$186</c:f>
              <c:strCache>
                <c:ptCount val="1"/>
                <c:pt idx="0">
                  <c:v>Totaal &gt; 1 MWp veld Max (VJ)</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Calculations!$AB$178:$AD$178</c:f>
              <c:numCache>
                <c:formatCode>General</c:formatCode>
                <c:ptCount val="3"/>
                <c:pt idx="0">
                  <c:v>2020</c:v>
                </c:pt>
                <c:pt idx="1">
                  <c:v>2030</c:v>
                </c:pt>
                <c:pt idx="2">
                  <c:v>2050</c:v>
                </c:pt>
              </c:numCache>
            </c:numRef>
          </c:xVal>
          <c:yVal>
            <c:numRef>
              <c:f>Calculations!$AB$186:$AD$186</c:f>
              <c:numCache>
                <c:formatCode>0</c:formatCode>
                <c:ptCount val="3"/>
                <c:pt idx="0">
                  <c:v>611.08145210494206</c:v>
                </c:pt>
                <c:pt idx="1">
                  <c:v>515.85687604823022</c:v>
                </c:pt>
                <c:pt idx="2">
                  <c:v>415.15174885156375</c:v>
                </c:pt>
              </c:numCache>
            </c:numRef>
          </c:yVal>
          <c:smooth val="0"/>
          <c:extLst>
            <c:ext xmlns:c16="http://schemas.microsoft.com/office/drawing/2014/chart" uri="{C3380CC4-5D6E-409C-BE32-E72D297353CC}">
              <c16:uniqueId val="{00000005-267C-44F6-83D2-E25E5428376E}"/>
            </c:ext>
          </c:extLst>
        </c:ser>
        <c:dLbls>
          <c:showLegendKey val="0"/>
          <c:showVal val="0"/>
          <c:showCatName val="0"/>
          <c:showSerName val="0"/>
          <c:showPercent val="0"/>
          <c:showBubbleSize val="0"/>
        </c:dLbls>
        <c:axId val="695805008"/>
        <c:axId val="699357520"/>
      </c:scatterChart>
      <c:valAx>
        <c:axId val="695805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357520"/>
        <c:crosses val="autoZero"/>
        <c:crossBetween val="midCat"/>
      </c:valAx>
      <c:valAx>
        <c:axId val="699357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5805008"/>
        <c:crosses val="autoZero"/>
        <c:crossBetween val="midCat"/>
      </c:valAx>
      <c:spPr>
        <a:noFill/>
        <a:ln>
          <a:noFill/>
        </a:ln>
        <a:effectLst/>
      </c:spPr>
    </c:plotArea>
    <c:legend>
      <c:legendPos val="b"/>
      <c:layout>
        <c:manualLayout>
          <c:xMode val="edge"/>
          <c:yMode val="edge"/>
          <c:x val="0.34844180777381428"/>
          <c:y val="0.82854043417085188"/>
          <c:w val="0.33736314047794219"/>
          <c:h val="0.156386249574950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5.png"/><Relationship Id="rId7" Type="http://schemas.openxmlformats.org/officeDocument/2006/relationships/chart" Target="../charts/chart2.xml"/><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chart" Target="../charts/chart1.xml"/><Relationship Id="rId5" Type="http://schemas.openxmlformats.org/officeDocument/2006/relationships/image" Target="../media/image7.png"/><Relationship Id="rId10" Type="http://schemas.openxmlformats.org/officeDocument/2006/relationships/image" Target="../media/image10.png"/><Relationship Id="rId4" Type="http://schemas.openxmlformats.org/officeDocument/2006/relationships/image" Target="../media/image6.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23</xdr:row>
      <xdr:rowOff>42722</xdr:rowOff>
    </xdr:from>
    <xdr:to>
      <xdr:col>5</xdr:col>
      <xdr:colOff>1312334</xdr:colOff>
      <xdr:row>33</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204107</xdr:colOff>
      <xdr:row>0</xdr:row>
      <xdr:rowOff>54429</xdr:rowOff>
    </xdr:from>
    <xdr:to>
      <xdr:col>14</xdr:col>
      <xdr:colOff>802841</xdr:colOff>
      <xdr:row>1</xdr:row>
      <xdr:rowOff>212956</xdr:rowOff>
    </xdr:to>
    <xdr:pic>
      <xdr:nvPicPr>
        <xdr:cNvPr id="2" name="Picture 1" descr="Resultado de imagen de ecn part of tno logo">
          <a:extLst>
            <a:ext uri="{FF2B5EF4-FFF2-40B4-BE49-F238E27FC236}">
              <a16:creationId xmlns:a16="http://schemas.microsoft.com/office/drawing/2014/main" id="{FF88F834-FE84-47F0-B055-676D41CB83A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40" t="45298" r="6218" b="38797"/>
        <a:stretch/>
      </xdr:blipFill>
      <xdr:spPr bwMode="auto">
        <a:xfrm>
          <a:off x="10069286" y="54429"/>
          <a:ext cx="3129662" cy="430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13</xdr:col>
      <xdr:colOff>587562</xdr:colOff>
      <xdr:row>22</xdr:row>
      <xdr:rowOff>192881</xdr:rowOff>
    </xdr:to>
    <xdr:pic>
      <xdr:nvPicPr>
        <xdr:cNvPr id="2" name="Picture 1">
          <a:extLst>
            <a:ext uri="{FF2B5EF4-FFF2-40B4-BE49-F238E27FC236}">
              <a16:creationId xmlns:a16="http://schemas.microsoft.com/office/drawing/2014/main" id="{A5F0F5AE-914D-4A14-89AB-17FA24B9ECD6}"/>
            </a:ext>
          </a:extLst>
        </xdr:cNvPr>
        <xdr:cNvPicPr>
          <a:picLocks noChangeAspect="1"/>
        </xdr:cNvPicPr>
      </xdr:nvPicPr>
      <xdr:blipFill>
        <a:blip xmlns:r="http://schemas.openxmlformats.org/officeDocument/2006/relationships" r:embed="rId1"/>
        <a:stretch>
          <a:fillRect/>
        </a:stretch>
      </xdr:blipFill>
      <xdr:spPr>
        <a:xfrm>
          <a:off x="0" y="666750"/>
          <a:ext cx="10420350" cy="4038600"/>
        </a:xfrm>
        <a:prstGeom prst="rect">
          <a:avLst/>
        </a:prstGeom>
      </xdr:spPr>
    </xdr:pic>
    <xdr:clientData/>
  </xdr:twoCellAnchor>
  <xdr:twoCellAnchor editAs="oneCell">
    <xdr:from>
      <xdr:col>17</xdr:col>
      <xdr:colOff>0</xdr:colOff>
      <xdr:row>3</xdr:row>
      <xdr:rowOff>0</xdr:rowOff>
    </xdr:from>
    <xdr:to>
      <xdr:col>33</xdr:col>
      <xdr:colOff>502960</xdr:colOff>
      <xdr:row>41</xdr:row>
      <xdr:rowOff>100012</xdr:rowOff>
    </xdr:to>
    <xdr:pic>
      <xdr:nvPicPr>
        <xdr:cNvPr id="3" name="Picture 2">
          <a:extLst>
            <a:ext uri="{FF2B5EF4-FFF2-40B4-BE49-F238E27FC236}">
              <a16:creationId xmlns:a16="http://schemas.microsoft.com/office/drawing/2014/main" id="{725AA2D2-4E9B-436F-ADC5-8C9359567D7C}"/>
            </a:ext>
          </a:extLst>
        </xdr:cNvPr>
        <xdr:cNvPicPr>
          <a:picLocks noChangeAspect="1"/>
        </xdr:cNvPicPr>
      </xdr:nvPicPr>
      <xdr:blipFill>
        <a:blip xmlns:r="http://schemas.openxmlformats.org/officeDocument/2006/relationships" r:embed="rId2"/>
        <a:stretch>
          <a:fillRect/>
        </a:stretch>
      </xdr:blipFill>
      <xdr:spPr>
        <a:xfrm>
          <a:off x="11739563" y="666750"/>
          <a:ext cx="13515975" cy="7791450"/>
        </a:xfrm>
        <a:prstGeom prst="rect">
          <a:avLst/>
        </a:prstGeom>
      </xdr:spPr>
    </xdr:pic>
    <xdr:clientData/>
  </xdr:twoCellAnchor>
  <xdr:twoCellAnchor editAs="oneCell">
    <xdr:from>
      <xdr:col>2</xdr:col>
      <xdr:colOff>226220</xdr:colOff>
      <xdr:row>64</xdr:row>
      <xdr:rowOff>166689</xdr:rowOff>
    </xdr:from>
    <xdr:to>
      <xdr:col>12</xdr:col>
      <xdr:colOff>398452</xdr:colOff>
      <xdr:row>88</xdr:row>
      <xdr:rowOff>4177</xdr:rowOff>
    </xdr:to>
    <xdr:pic>
      <xdr:nvPicPr>
        <xdr:cNvPr id="4" name="Picture 3">
          <a:extLst>
            <a:ext uri="{FF2B5EF4-FFF2-40B4-BE49-F238E27FC236}">
              <a16:creationId xmlns:a16="http://schemas.microsoft.com/office/drawing/2014/main" id="{5F0DD996-B40A-4093-BFE8-8049604E3C01}"/>
            </a:ext>
          </a:extLst>
        </xdr:cNvPr>
        <xdr:cNvPicPr>
          <a:picLocks noChangeAspect="1"/>
        </xdr:cNvPicPr>
      </xdr:nvPicPr>
      <xdr:blipFill>
        <a:blip xmlns:r="http://schemas.openxmlformats.org/officeDocument/2006/relationships" r:embed="rId3"/>
        <a:stretch>
          <a:fillRect/>
        </a:stretch>
      </xdr:blipFill>
      <xdr:spPr>
        <a:xfrm>
          <a:off x="1607345" y="13180220"/>
          <a:ext cx="7933333" cy="4695238"/>
        </a:xfrm>
        <a:prstGeom prst="rect">
          <a:avLst/>
        </a:prstGeom>
      </xdr:spPr>
    </xdr:pic>
    <xdr:clientData/>
  </xdr:twoCellAnchor>
  <xdr:twoCellAnchor editAs="oneCell">
    <xdr:from>
      <xdr:col>2</xdr:col>
      <xdr:colOff>0</xdr:colOff>
      <xdr:row>28</xdr:row>
      <xdr:rowOff>0</xdr:rowOff>
    </xdr:from>
    <xdr:to>
      <xdr:col>10</xdr:col>
      <xdr:colOff>601850</xdr:colOff>
      <xdr:row>61</xdr:row>
      <xdr:rowOff>35718</xdr:rowOff>
    </xdr:to>
    <xdr:pic>
      <xdr:nvPicPr>
        <xdr:cNvPr id="5" name="Picture 4">
          <a:extLst>
            <a:ext uri="{FF2B5EF4-FFF2-40B4-BE49-F238E27FC236}">
              <a16:creationId xmlns:a16="http://schemas.microsoft.com/office/drawing/2014/main" id="{35D50CA2-12FB-465B-9EA5-FBB54881E08E}"/>
            </a:ext>
          </a:extLst>
        </xdr:cNvPr>
        <xdr:cNvPicPr>
          <a:picLocks noChangeAspect="1"/>
        </xdr:cNvPicPr>
      </xdr:nvPicPr>
      <xdr:blipFill>
        <a:blip xmlns:r="http://schemas.openxmlformats.org/officeDocument/2006/relationships" r:embed="rId4"/>
        <a:stretch>
          <a:fillRect/>
        </a:stretch>
      </xdr:blipFill>
      <xdr:spPr>
        <a:xfrm>
          <a:off x="1381125" y="5726906"/>
          <a:ext cx="6981825" cy="6715125"/>
        </a:xfrm>
        <a:prstGeom prst="rect">
          <a:avLst/>
        </a:prstGeom>
      </xdr:spPr>
    </xdr:pic>
    <xdr:clientData/>
  </xdr:twoCellAnchor>
  <xdr:twoCellAnchor>
    <xdr:from>
      <xdr:col>2</xdr:col>
      <xdr:colOff>501763</xdr:colOff>
      <xdr:row>104</xdr:row>
      <xdr:rowOff>173492</xdr:rowOff>
    </xdr:from>
    <xdr:to>
      <xdr:col>14</xdr:col>
      <xdr:colOff>507887</xdr:colOff>
      <xdr:row>118</xdr:row>
      <xdr:rowOff>159885</xdr:rowOff>
    </xdr:to>
    <xdr:pic>
      <xdr:nvPicPr>
        <xdr:cNvPr id="6" name="Picture 1" descr="image001">
          <a:extLst>
            <a:ext uri="{FF2B5EF4-FFF2-40B4-BE49-F238E27FC236}">
              <a16:creationId xmlns:a16="http://schemas.microsoft.com/office/drawing/2014/main" id="{FE9906F4-29F4-49DF-A6F9-0D55874CA7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82888" y="21283273"/>
          <a:ext cx="12876780" cy="2820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309561</xdr:colOff>
      <xdr:row>146</xdr:row>
      <xdr:rowOff>176211</xdr:rowOff>
    </xdr:from>
    <xdr:to>
      <xdr:col>23</xdr:col>
      <xdr:colOff>654843</xdr:colOff>
      <xdr:row>170</xdr:row>
      <xdr:rowOff>142874</xdr:rowOff>
    </xdr:to>
    <xdr:graphicFrame macro="">
      <xdr:nvGraphicFramePr>
        <xdr:cNvPr id="8" name="Chart 7">
          <a:extLst>
            <a:ext uri="{FF2B5EF4-FFF2-40B4-BE49-F238E27FC236}">
              <a16:creationId xmlns:a16="http://schemas.microsoft.com/office/drawing/2014/main" id="{06DFA83C-D014-465F-9B5B-2F24A9C31C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398858</xdr:colOff>
      <xdr:row>146</xdr:row>
      <xdr:rowOff>83343</xdr:rowOff>
    </xdr:from>
    <xdr:to>
      <xdr:col>36</xdr:col>
      <xdr:colOff>678655</xdr:colOff>
      <xdr:row>171</xdr:row>
      <xdr:rowOff>169069</xdr:rowOff>
    </xdr:to>
    <xdr:graphicFrame macro="">
      <xdr:nvGraphicFramePr>
        <xdr:cNvPr id="9" name="Chart 8">
          <a:extLst>
            <a:ext uri="{FF2B5EF4-FFF2-40B4-BE49-F238E27FC236}">
              <a16:creationId xmlns:a16="http://schemas.microsoft.com/office/drawing/2014/main" id="{44289DD4-E6E7-4E05-9106-5B41643303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0</xdr:colOff>
      <xdr:row>203</xdr:row>
      <xdr:rowOff>0</xdr:rowOff>
    </xdr:from>
    <xdr:to>
      <xdr:col>10</xdr:col>
      <xdr:colOff>385988</xdr:colOff>
      <xdr:row>221</xdr:row>
      <xdr:rowOff>296075</xdr:rowOff>
    </xdr:to>
    <xdr:pic>
      <xdr:nvPicPr>
        <xdr:cNvPr id="10" name="Picture 9">
          <a:extLst>
            <a:ext uri="{FF2B5EF4-FFF2-40B4-BE49-F238E27FC236}">
              <a16:creationId xmlns:a16="http://schemas.microsoft.com/office/drawing/2014/main" id="{9A60EB8A-551C-438D-89A5-4F3E1683F4D6}"/>
            </a:ext>
          </a:extLst>
        </xdr:cNvPr>
        <xdr:cNvPicPr>
          <a:picLocks noChangeAspect="1"/>
        </xdr:cNvPicPr>
      </xdr:nvPicPr>
      <xdr:blipFill>
        <a:blip xmlns:r="http://schemas.openxmlformats.org/officeDocument/2006/relationships" r:embed="rId8"/>
        <a:stretch>
          <a:fillRect/>
        </a:stretch>
      </xdr:blipFill>
      <xdr:spPr>
        <a:xfrm>
          <a:off x="687457" y="40419130"/>
          <a:ext cx="7428571" cy="6847619"/>
        </a:xfrm>
        <a:prstGeom prst="rect">
          <a:avLst/>
        </a:prstGeom>
      </xdr:spPr>
    </xdr:pic>
    <xdr:clientData/>
  </xdr:twoCellAnchor>
  <xdr:twoCellAnchor editAs="oneCell">
    <xdr:from>
      <xdr:col>14</xdr:col>
      <xdr:colOff>563217</xdr:colOff>
      <xdr:row>241</xdr:row>
      <xdr:rowOff>74544</xdr:rowOff>
    </xdr:from>
    <xdr:to>
      <xdr:col>19</xdr:col>
      <xdr:colOff>613971</xdr:colOff>
      <xdr:row>251</xdr:row>
      <xdr:rowOff>193964</xdr:rowOff>
    </xdr:to>
    <xdr:pic>
      <xdr:nvPicPr>
        <xdr:cNvPr id="11" name="Picture 10">
          <a:extLst>
            <a:ext uri="{FF2B5EF4-FFF2-40B4-BE49-F238E27FC236}">
              <a16:creationId xmlns:a16="http://schemas.microsoft.com/office/drawing/2014/main" id="{6E6B6F18-A7EF-476F-BBBF-A39084EA0651}"/>
            </a:ext>
          </a:extLst>
        </xdr:cNvPr>
        <xdr:cNvPicPr>
          <a:picLocks noChangeAspect="1"/>
        </xdr:cNvPicPr>
      </xdr:nvPicPr>
      <xdr:blipFill>
        <a:blip xmlns:r="http://schemas.openxmlformats.org/officeDocument/2006/relationships" r:embed="rId9"/>
        <a:stretch>
          <a:fillRect/>
        </a:stretch>
      </xdr:blipFill>
      <xdr:spPr>
        <a:xfrm>
          <a:off x="10518913" y="52064479"/>
          <a:ext cx="4790476" cy="2123810"/>
        </a:xfrm>
        <a:prstGeom prst="rect">
          <a:avLst/>
        </a:prstGeom>
      </xdr:spPr>
    </xdr:pic>
    <xdr:clientData/>
  </xdr:twoCellAnchor>
  <xdr:twoCellAnchor editAs="oneCell">
    <xdr:from>
      <xdr:col>25</xdr:col>
      <xdr:colOff>0</xdr:colOff>
      <xdr:row>237</xdr:row>
      <xdr:rowOff>0</xdr:rowOff>
    </xdr:from>
    <xdr:to>
      <xdr:col>36</xdr:col>
      <xdr:colOff>326704</xdr:colOff>
      <xdr:row>250</xdr:row>
      <xdr:rowOff>123070</xdr:rowOff>
    </xdr:to>
    <xdr:pic>
      <xdr:nvPicPr>
        <xdr:cNvPr id="7" name="Picture 6">
          <a:extLst>
            <a:ext uri="{FF2B5EF4-FFF2-40B4-BE49-F238E27FC236}">
              <a16:creationId xmlns:a16="http://schemas.microsoft.com/office/drawing/2014/main" id="{136E3F33-8D0E-4F06-A345-0414587C3117}"/>
            </a:ext>
          </a:extLst>
        </xdr:cNvPr>
        <xdr:cNvPicPr>
          <a:picLocks noChangeAspect="1"/>
        </xdr:cNvPicPr>
      </xdr:nvPicPr>
      <xdr:blipFill>
        <a:blip xmlns:r="http://schemas.openxmlformats.org/officeDocument/2006/relationships" r:embed="rId10"/>
        <a:stretch>
          <a:fillRect/>
        </a:stretch>
      </xdr:blipFill>
      <xdr:spPr>
        <a:xfrm>
          <a:off x="17683370" y="51194804"/>
          <a:ext cx="8647619" cy="272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ea.org/statistics/resources/unitconver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mailto:luuk.beurskens@tno.nl" TargetMode="External"/><Relationship Id="rId7" Type="http://schemas.openxmlformats.org/officeDocument/2006/relationships/hyperlink" Target="mailto:luuk.beurskens@tno.nl" TargetMode="External"/><Relationship Id="rId2" Type="http://schemas.openxmlformats.org/officeDocument/2006/relationships/hyperlink" Target="mailto:luuk.beurskens@tno.nl" TargetMode="External"/><Relationship Id="rId1" Type="http://schemas.openxmlformats.org/officeDocument/2006/relationships/hyperlink" Target="https://www.ise.fraunhofer.de/content/dam/ise/de/documents/publications/studies/AgoraEnergiewende_Current_and_Future_Cost_of_PV_Feb2015_web.pdf" TargetMode="External"/><Relationship Id="rId6" Type="http://schemas.openxmlformats.org/officeDocument/2006/relationships/hyperlink" Target="https://www.groenleven.nl/oost-west-opstelling" TargetMode="External"/><Relationship Id="rId5" Type="http://schemas.openxmlformats.org/officeDocument/2006/relationships/hyperlink" Target="https://www.groenleven.nl/oost-west-opstelling" TargetMode="External"/><Relationship Id="rId4" Type="http://schemas.openxmlformats.org/officeDocument/2006/relationships/hyperlink" Target="http://edepot.wur.nl/336567"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51"/>
  <sheetViews>
    <sheetView zoomScale="80" zoomScaleNormal="80" workbookViewId="0">
      <selection activeCell="D4" sqref="F4"/>
    </sheetView>
  </sheetViews>
  <sheetFormatPr defaultColWidth="11" defaultRowHeight="15.75" x14ac:dyDescent="0.25"/>
  <cols>
    <col min="1" max="1" width="11" style="2"/>
    <col min="2" max="2" width="23.875" style="2" customWidth="1"/>
    <col min="3" max="3" width="6.75" style="2" customWidth="1"/>
    <col min="4" max="4" width="79.125" style="2" customWidth="1"/>
    <col min="5" max="5" width="5.75" style="2" customWidth="1"/>
    <col min="6" max="6" width="94.875" style="2" customWidth="1"/>
    <col min="7" max="20" width="11" style="2"/>
    <col min="21" max="21" width="10.875" style="2" customWidth="1"/>
    <col min="22" max="16384" width="11" style="2"/>
  </cols>
  <sheetData>
    <row r="1" spans="1:6" ht="21" x14ac:dyDescent="0.35">
      <c r="A1" s="4" t="s">
        <v>0</v>
      </c>
    </row>
    <row r="3" spans="1:6" ht="15.75" customHeight="1" x14ac:dyDescent="0.25">
      <c r="A3" s="7" t="s">
        <v>1</v>
      </c>
      <c r="B3" s="60" t="s">
        <v>2</v>
      </c>
    </row>
    <row r="4" spans="1:6" ht="15.75" customHeight="1" x14ac:dyDescent="0.25">
      <c r="A4" s="7" t="s">
        <v>1</v>
      </c>
      <c r="B4" s="60" t="s">
        <v>3</v>
      </c>
    </row>
    <row r="5" spans="1:6" ht="15.75" customHeight="1" x14ac:dyDescent="0.25">
      <c r="A5" s="7" t="s">
        <v>1</v>
      </c>
      <c r="B5" s="60" t="s">
        <v>4</v>
      </c>
      <c r="E5" s="8"/>
      <c r="F5" s="43"/>
    </row>
    <row r="6" spans="1:6" ht="15.75" customHeight="1" x14ac:dyDescent="0.3">
      <c r="A6" s="7" t="s">
        <v>1</v>
      </c>
      <c r="B6" s="60" t="s">
        <v>5</v>
      </c>
      <c r="C6" s="5"/>
      <c r="E6" s="8"/>
      <c r="F6" s="8"/>
    </row>
    <row r="7" spans="1:6" ht="15.75" customHeight="1" x14ac:dyDescent="0.3">
      <c r="A7" s="7" t="s">
        <v>1</v>
      </c>
      <c r="B7" s="60" t="s">
        <v>6</v>
      </c>
      <c r="C7" s="5"/>
      <c r="E7" s="8"/>
      <c r="F7" s="8"/>
    </row>
    <row r="8" spans="1:6" ht="15.75" customHeight="1" x14ac:dyDescent="0.3">
      <c r="A8" s="7" t="s">
        <v>1</v>
      </c>
      <c r="B8" s="60" t="s">
        <v>7</v>
      </c>
      <c r="C8" s="5"/>
      <c r="E8" s="8"/>
      <c r="F8" s="8"/>
    </row>
    <row r="9" spans="1:6" ht="15.75" customHeight="1" x14ac:dyDescent="0.3">
      <c r="A9" s="7"/>
      <c r="B9" s="131"/>
      <c r="C9" s="5"/>
      <c r="E9" s="8"/>
      <c r="F9" s="8"/>
    </row>
    <row r="10" spans="1:6" ht="15.75" customHeight="1" x14ac:dyDescent="0.3">
      <c r="A10" s="132" t="s">
        <v>8</v>
      </c>
      <c r="B10" s="60" t="s">
        <v>9</v>
      </c>
      <c r="C10" s="5"/>
      <c r="E10" s="8"/>
      <c r="F10" s="8"/>
    </row>
    <row r="11" spans="1:6" ht="15.75" customHeight="1" x14ac:dyDescent="0.3">
      <c r="A11" s="132" t="s">
        <v>8</v>
      </c>
      <c r="B11" s="60" t="s">
        <v>10</v>
      </c>
      <c r="C11" s="5"/>
    </row>
    <row r="12" spans="1:6" ht="15.75" customHeight="1" x14ac:dyDescent="0.3">
      <c r="A12" s="132" t="s">
        <v>8</v>
      </c>
      <c r="B12" s="60" t="s">
        <v>11</v>
      </c>
      <c r="C12" s="5"/>
    </row>
    <row r="13" spans="1:6" ht="15.75" customHeight="1" x14ac:dyDescent="0.3">
      <c r="A13" s="132" t="s">
        <v>8</v>
      </c>
      <c r="B13" s="60" t="s">
        <v>12</v>
      </c>
      <c r="C13" s="5"/>
    </row>
    <row r="14" spans="1:6" ht="15.75" customHeight="1" x14ac:dyDescent="0.3">
      <c r="A14" s="132" t="s">
        <v>8</v>
      </c>
      <c r="B14" s="60" t="s">
        <v>13</v>
      </c>
      <c r="C14" s="5"/>
    </row>
    <row r="15" spans="1:6" ht="15.75" customHeight="1" x14ac:dyDescent="0.3">
      <c r="A15" s="132" t="s">
        <v>8</v>
      </c>
      <c r="B15" s="60" t="s">
        <v>14</v>
      </c>
      <c r="C15" s="5"/>
    </row>
    <row r="16" spans="1:6" ht="21" x14ac:dyDescent="0.35">
      <c r="A16" s="4"/>
      <c r="B16" s="3"/>
      <c r="C16" s="3"/>
    </row>
    <row r="17" spans="1:16" ht="18.75" x14ac:dyDescent="0.3">
      <c r="B17" s="61" t="s">
        <v>15</v>
      </c>
      <c r="C17" s="278" t="s">
        <v>16</v>
      </c>
      <c r="D17" s="279"/>
      <c r="E17" s="278" t="s">
        <v>17</v>
      </c>
      <c r="F17" s="280"/>
    </row>
    <row r="18" spans="1:16" ht="15.75" customHeight="1" x14ac:dyDescent="0.25">
      <c r="A18" s="8"/>
      <c r="B18" s="256" t="s">
        <v>18</v>
      </c>
      <c r="C18" s="40" t="s">
        <v>1</v>
      </c>
      <c r="D18" s="41" t="s">
        <v>19</v>
      </c>
      <c r="E18" s="26" t="s">
        <v>1</v>
      </c>
      <c r="F18" s="29" t="s">
        <v>20</v>
      </c>
      <c r="G18" s="8"/>
      <c r="H18" s="8"/>
      <c r="I18" s="8"/>
      <c r="J18" s="8"/>
      <c r="K18" s="8"/>
      <c r="L18" s="8"/>
      <c r="M18" s="8"/>
      <c r="N18" s="8"/>
      <c r="O18" s="8"/>
      <c r="P18" s="8"/>
    </row>
    <row r="19" spans="1:16" ht="15.75" customHeight="1" x14ac:dyDescent="0.25">
      <c r="A19" s="8"/>
      <c r="B19" s="257"/>
      <c r="C19" s="50"/>
      <c r="D19" s="34"/>
      <c r="E19" s="51" t="s">
        <v>1</v>
      </c>
      <c r="F19" s="57" t="s">
        <v>21</v>
      </c>
      <c r="G19" s="8"/>
      <c r="H19" s="8"/>
      <c r="I19" s="8"/>
      <c r="J19" s="8"/>
      <c r="K19" s="8"/>
      <c r="L19" s="8"/>
      <c r="M19" s="8"/>
      <c r="N19" s="8"/>
      <c r="O19" s="8"/>
      <c r="P19" s="8"/>
    </row>
    <row r="20" spans="1:16" ht="15.75" customHeight="1" x14ac:dyDescent="0.25">
      <c r="A20" s="8"/>
      <c r="B20" s="25" t="s">
        <v>22</v>
      </c>
      <c r="C20" s="14" t="s">
        <v>1</v>
      </c>
      <c r="D20" s="44" t="s">
        <v>23</v>
      </c>
      <c r="E20" s="90"/>
      <c r="F20" s="87"/>
      <c r="G20" s="8"/>
      <c r="H20" s="8"/>
      <c r="I20" s="8"/>
      <c r="J20" s="8"/>
      <c r="K20" s="8"/>
      <c r="L20" s="8"/>
      <c r="M20" s="8"/>
      <c r="N20" s="8"/>
      <c r="O20" s="8"/>
      <c r="P20" s="8"/>
    </row>
    <row r="21" spans="1:16" ht="31.5" x14ac:dyDescent="0.25">
      <c r="A21" s="8"/>
      <c r="B21" s="196" t="s">
        <v>24</v>
      </c>
      <c r="C21" s="40" t="s">
        <v>1</v>
      </c>
      <c r="D21" s="48" t="s">
        <v>25</v>
      </c>
      <c r="E21" s="38" t="s">
        <v>1</v>
      </c>
      <c r="F21" s="91" t="s">
        <v>26</v>
      </c>
      <c r="G21" s="8"/>
      <c r="H21" s="8"/>
      <c r="I21" s="8"/>
      <c r="J21" s="8"/>
      <c r="K21" s="8"/>
      <c r="L21" s="8"/>
      <c r="M21" s="8"/>
      <c r="N21" s="8"/>
      <c r="O21" s="8"/>
      <c r="P21" s="8"/>
    </row>
    <row r="22" spans="1:16" ht="15.75" customHeight="1" x14ac:dyDescent="0.25">
      <c r="A22" s="8"/>
      <c r="B22" s="194" t="s">
        <v>27</v>
      </c>
      <c r="C22" s="40" t="s">
        <v>1</v>
      </c>
      <c r="D22" s="45" t="s">
        <v>28</v>
      </c>
      <c r="E22" s="40" t="s">
        <v>1</v>
      </c>
      <c r="F22" s="22" t="s">
        <v>29</v>
      </c>
      <c r="G22" s="8"/>
      <c r="H22" s="8"/>
      <c r="I22" s="8"/>
      <c r="J22" s="8"/>
      <c r="K22" s="8"/>
      <c r="L22" s="8"/>
      <c r="M22" s="8"/>
      <c r="N22" s="8"/>
      <c r="O22" s="8"/>
      <c r="P22" s="8"/>
    </row>
    <row r="23" spans="1:16" ht="15.75" customHeight="1" x14ac:dyDescent="0.25">
      <c r="A23" s="8"/>
      <c r="B23" s="264" t="s">
        <v>30</v>
      </c>
      <c r="C23" s="14" t="s">
        <v>1</v>
      </c>
      <c r="D23" s="45" t="s">
        <v>31</v>
      </c>
      <c r="E23" s="40" t="s">
        <v>1</v>
      </c>
      <c r="F23" s="22" t="s">
        <v>32</v>
      </c>
      <c r="G23" s="8"/>
      <c r="H23" s="8"/>
      <c r="I23" s="8"/>
      <c r="J23" s="8"/>
      <c r="K23" s="8"/>
      <c r="L23" s="8"/>
      <c r="M23" s="8"/>
      <c r="N23" s="8"/>
      <c r="O23" s="8"/>
      <c r="P23" s="8"/>
    </row>
    <row r="24" spans="1:16" ht="15.75" customHeight="1" x14ac:dyDescent="0.25">
      <c r="A24" s="8"/>
      <c r="B24" s="265"/>
      <c r="C24" s="15"/>
      <c r="D24" s="46"/>
      <c r="E24" s="49"/>
      <c r="F24" s="32"/>
      <c r="G24" s="8"/>
      <c r="H24" s="8"/>
      <c r="I24" s="8"/>
      <c r="J24" s="8"/>
      <c r="K24" s="8"/>
      <c r="L24" s="8"/>
      <c r="M24" s="8"/>
      <c r="N24" s="8"/>
      <c r="O24" s="8"/>
      <c r="P24" s="8"/>
    </row>
    <row r="25" spans="1:16" ht="15.75" customHeight="1" x14ac:dyDescent="0.25">
      <c r="A25" s="8"/>
      <c r="B25" s="265"/>
      <c r="C25" s="24"/>
      <c r="D25" s="47" t="s">
        <v>33</v>
      </c>
      <c r="E25" s="49"/>
      <c r="F25" s="32"/>
      <c r="G25" s="8"/>
      <c r="H25" s="8"/>
      <c r="I25" s="8"/>
      <c r="J25" s="8"/>
      <c r="K25" s="8"/>
      <c r="L25" s="8"/>
      <c r="M25" s="8"/>
      <c r="N25" s="8"/>
      <c r="O25" s="8"/>
      <c r="P25" s="8"/>
    </row>
    <row r="26" spans="1:16" ht="15.75" customHeight="1" x14ac:dyDescent="0.25">
      <c r="A26" s="8"/>
      <c r="B26" s="265"/>
      <c r="C26" s="24" t="s">
        <v>34</v>
      </c>
      <c r="D26" s="46" t="s">
        <v>35</v>
      </c>
      <c r="E26" s="49"/>
      <c r="F26" s="32"/>
      <c r="G26" s="8"/>
      <c r="H26" s="8"/>
      <c r="I26" s="8"/>
      <c r="J26" s="8"/>
      <c r="K26" s="8"/>
      <c r="L26" s="8"/>
      <c r="M26" s="8"/>
      <c r="N26" s="8"/>
      <c r="O26" s="8"/>
      <c r="P26" s="8"/>
    </row>
    <row r="27" spans="1:16" ht="15.75" customHeight="1" x14ac:dyDescent="0.25">
      <c r="A27" s="8"/>
      <c r="B27" s="265"/>
      <c r="C27" s="24" t="s">
        <v>36</v>
      </c>
      <c r="D27" s="46" t="s">
        <v>37</v>
      </c>
      <c r="E27" s="49"/>
      <c r="F27" s="32"/>
      <c r="G27" s="8"/>
      <c r="H27" s="8"/>
      <c r="I27" s="8"/>
      <c r="J27" s="8"/>
      <c r="K27" s="8"/>
      <c r="L27" s="8"/>
      <c r="M27" s="8"/>
      <c r="N27" s="8"/>
      <c r="O27" s="8"/>
      <c r="P27" s="8"/>
    </row>
    <row r="28" spans="1:16" ht="15.75" customHeight="1" x14ac:dyDescent="0.25">
      <c r="A28" s="8"/>
      <c r="B28" s="265"/>
      <c r="C28" s="24" t="s">
        <v>38</v>
      </c>
      <c r="D28" s="46" t="s">
        <v>39</v>
      </c>
      <c r="E28" s="49"/>
      <c r="F28" s="32"/>
      <c r="G28" s="8"/>
      <c r="H28" s="8"/>
      <c r="I28" s="8"/>
      <c r="J28" s="8"/>
      <c r="K28" s="8"/>
      <c r="L28" s="8"/>
      <c r="M28" s="8"/>
      <c r="N28" s="8"/>
      <c r="O28" s="8"/>
      <c r="P28" s="8"/>
    </row>
    <row r="29" spans="1:16" ht="15.75" customHeight="1" x14ac:dyDescent="0.25">
      <c r="A29" s="8"/>
      <c r="B29" s="265"/>
      <c r="C29" s="24" t="s">
        <v>40</v>
      </c>
      <c r="D29" s="46" t="s">
        <v>41</v>
      </c>
      <c r="E29" s="49"/>
      <c r="F29" s="32"/>
      <c r="G29" s="8"/>
      <c r="H29" s="8"/>
      <c r="I29" s="8"/>
      <c r="J29" s="8"/>
      <c r="K29" s="8"/>
      <c r="L29" s="8"/>
      <c r="M29" s="8"/>
      <c r="N29" s="8"/>
      <c r="O29" s="8"/>
      <c r="P29" s="8"/>
    </row>
    <row r="30" spans="1:16" ht="15.75" customHeight="1" x14ac:dyDescent="0.25">
      <c r="A30" s="8"/>
      <c r="B30" s="265"/>
      <c r="C30" s="24" t="s">
        <v>42</v>
      </c>
      <c r="D30" s="46" t="s">
        <v>43</v>
      </c>
      <c r="E30" s="49"/>
      <c r="F30" s="32"/>
      <c r="G30" s="8"/>
      <c r="H30" s="8"/>
      <c r="I30" s="8"/>
      <c r="J30" s="8"/>
      <c r="K30" s="8"/>
      <c r="L30" s="8"/>
      <c r="M30" s="8"/>
      <c r="N30" s="8"/>
      <c r="O30" s="8"/>
      <c r="P30" s="8"/>
    </row>
    <row r="31" spans="1:16" ht="15.75" customHeight="1" x14ac:dyDescent="0.25">
      <c r="A31" s="8"/>
      <c r="B31" s="265"/>
      <c r="C31" s="24" t="s">
        <v>44</v>
      </c>
      <c r="D31" s="46" t="s">
        <v>45</v>
      </c>
      <c r="E31" s="49"/>
      <c r="F31" s="32"/>
      <c r="G31" s="8"/>
      <c r="H31" s="8"/>
      <c r="I31" s="8"/>
      <c r="J31" s="8"/>
      <c r="K31" s="8"/>
      <c r="L31" s="8"/>
      <c r="M31" s="8"/>
      <c r="N31" s="8"/>
      <c r="O31" s="8"/>
      <c r="P31" s="8"/>
    </row>
    <row r="32" spans="1:16" ht="15.75" customHeight="1" x14ac:dyDescent="0.25">
      <c r="A32" s="8"/>
      <c r="B32" s="265"/>
      <c r="C32" s="24" t="s">
        <v>46</v>
      </c>
      <c r="D32" s="46" t="s">
        <v>47</v>
      </c>
      <c r="E32" s="49"/>
      <c r="F32" s="32"/>
      <c r="G32" s="8"/>
      <c r="H32" s="8"/>
      <c r="I32" s="8"/>
      <c r="J32" s="8"/>
      <c r="K32" s="8"/>
      <c r="L32" s="8"/>
      <c r="M32" s="8"/>
      <c r="N32" s="8"/>
      <c r="O32" s="8"/>
      <c r="P32" s="8"/>
    </row>
    <row r="33" spans="1:16" ht="15.75" customHeight="1" x14ac:dyDescent="0.25">
      <c r="A33" s="8"/>
      <c r="B33" s="265"/>
      <c r="C33" s="24" t="s">
        <v>48</v>
      </c>
      <c r="D33" s="46" t="s">
        <v>49</v>
      </c>
      <c r="E33" s="49"/>
      <c r="F33" s="32"/>
      <c r="G33" s="8"/>
      <c r="H33" s="8"/>
      <c r="I33" s="8"/>
      <c r="J33" s="8"/>
      <c r="K33" s="8"/>
      <c r="L33" s="8"/>
      <c r="M33" s="8"/>
      <c r="N33" s="8"/>
      <c r="O33" s="8"/>
      <c r="P33" s="8"/>
    </row>
    <row r="34" spans="1:16" ht="15.75" customHeight="1" x14ac:dyDescent="0.25">
      <c r="A34" s="8"/>
      <c r="B34" s="265"/>
      <c r="C34" s="24" t="s">
        <v>50</v>
      </c>
      <c r="D34" s="46" t="s">
        <v>51</v>
      </c>
      <c r="E34" s="50"/>
      <c r="F34" s="34"/>
      <c r="G34" s="8"/>
      <c r="H34" s="8"/>
      <c r="I34" s="8"/>
      <c r="J34" s="8"/>
      <c r="K34" s="8"/>
      <c r="L34" s="8"/>
      <c r="M34" s="8"/>
      <c r="N34" s="8"/>
      <c r="O34" s="8"/>
      <c r="P34" s="8"/>
    </row>
    <row r="35" spans="1:16" ht="18.75" x14ac:dyDescent="0.25">
      <c r="A35" s="8"/>
      <c r="B35" s="270" t="s">
        <v>52</v>
      </c>
      <c r="C35" s="271"/>
      <c r="D35" s="271"/>
      <c r="E35" s="271"/>
      <c r="F35" s="281"/>
      <c r="G35" s="10"/>
      <c r="H35" s="10"/>
      <c r="I35" s="10"/>
      <c r="J35" s="10"/>
      <c r="K35" s="10"/>
      <c r="L35" s="10"/>
      <c r="M35" s="10"/>
      <c r="N35" s="10"/>
      <c r="O35" s="10"/>
      <c r="P35" s="10"/>
    </row>
    <row r="36" spans="1:16" ht="31.5" x14ac:dyDescent="0.25">
      <c r="A36" s="8"/>
      <c r="B36" s="262" t="s">
        <v>53</v>
      </c>
      <c r="C36" s="40" t="s">
        <v>1</v>
      </c>
      <c r="D36" s="41" t="s">
        <v>54</v>
      </c>
      <c r="E36" s="40" t="s">
        <v>1</v>
      </c>
      <c r="F36" s="22" t="s">
        <v>55</v>
      </c>
      <c r="G36" s="8"/>
      <c r="H36" s="8"/>
      <c r="I36" s="8"/>
      <c r="J36" s="8"/>
      <c r="K36" s="8"/>
      <c r="L36" s="8"/>
      <c r="M36" s="8"/>
      <c r="N36" s="8"/>
      <c r="O36" s="8"/>
      <c r="P36" s="8"/>
    </row>
    <row r="37" spans="1:16" ht="33.75" customHeight="1" x14ac:dyDescent="0.25">
      <c r="A37" s="8"/>
      <c r="B37" s="263"/>
      <c r="C37" s="51"/>
      <c r="D37" s="92"/>
      <c r="E37" s="26" t="s">
        <v>1</v>
      </c>
      <c r="F37" s="23" t="s">
        <v>56</v>
      </c>
      <c r="G37" s="8"/>
      <c r="H37" s="8"/>
      <c r="I37" s="8"/>
      <c r="J37" s="8"/>
      <c r="K37" s="8"/>
      <c r="L37" s="8"/>
      <c r="M37" s="8"/>
      <c r="N37" s="8"/>
      <c r="O37" s="8"/>
      <c r="P37" s="8"/>
    </row>
    <row r="38" spans="1:16" x14ac:dyDescent="0.25">
      <c r="A38" s="8"/>
      <c r="B38" s="282" t="s">
        <v>57</v>
      </c>
      <c r="C38" s="40" t="s">
        <v>1</v>
      </c>
      <c r="D38" s="48" t="s">
        <v>58</v>
      </c>
      <c r="E38" s="40" t="s">
        <v>1</v>
      </c>
      <c r="F38" s="11" t="s">
        <v>59</v>
      </c>
      <c r="G38" s="8"/>
      <c r="H38" s="8"/>
      <c r="I38" s="8"/>
      <c r="J38" s="8"/>
      <c r="K38" s="8"/>
      <c r="L38" s="8"/>
      <c r="M38" s="8"/>
      <c r="N38" s="8"/>
      <c r="O38" s="8"/>
      <c r="P38" s="8"/>
    </row>
    <row r="39" spans="1:16" ht="31.5" x14ac:dyDescent="0.25">
      <c r="A39" s="8"/>
      <c r="B39" s="283"/>
      <c r="C39" s="15"/>
      <c r="D39" s="106"/>
      <c r="E39" s="26" t="s">
        <v>1</v>
      </c>
      <c r="F39" s="12" t="s">
        <v>60</v>
      </c>
      <c r="G39" s="8"/>
      <c r="H39" s="8"/>
      <c r="I39" s="8"/>
      <c r="J39" s="8"/>
      <c r="K39" s="8"/>
      <c r="L39" s="8"/>
      <c r="M39" s="8"/>
      <c r="N39" s="8"/>
      <c r="O39" s="8"/>
      <c r="P39" s="8"/>
    </row>
    <row r="40" spans="1:16" x14ac:dyDescent="0.25">
      <c r="A40" s="8"/>
      <c r="B40" s="192"/>
      <c r="C40" s="15"/>
      <c r="D40" s="106"/>
      <c r="E40" s="16" t="s">
        <v>1</v>
      </c>
      <c r="F40" s="13" t="s">
        <v>61</v>
      </c>
      <c r="G40" s="8"/>
      <c r="H40" s="8"/>
      <c r="I40" s="8"/>
      <c r="J40" s="8"/>
      <c r="K40" s="8"/>
      <c r="L40" s="8"/>
      <c r="M40" s="8"/>
      <c r="N40" s="8"/>
      <c r="O40" s="8"/>
      <c r="P40" s="8"/>
    </row>
    <row r="41" spans="1:16" ht="31.5" x14ac:dyDescent="0.25">
      <c r="A41" s="8"/>
      <c r="B41" s="191" t="s">
        <v>62</v>
      </c>
      <c r="C41" s="40" t="s">
        <v>1</v>
      </c>
      <c r="D41" s="41" t="s">
        <v>63</v>
      </c>
      <c r="E41" s="26" t="s">
        <v>1</v>
      </c>
      <c r="F41" s="12" t="s">
        <v>64</v>
      </c>
      <c r="G41" s="8"/>
      <c r="H41" s="8"/>
      <c r="I41" s="8"/>
      <c r="J41" s="8"/>
      <c r="K41" s="8"/>
      <c r="L41" s="8"/>
      <c r="M41" s="8"/>
      <c r="N41" s="8"/>
      <c r="O41" s="8"/>
      <c r="P41" s="8"/>
    </row>
    <row r="42" spans="1:16" x14ac:dyDescent="0.25">
      <c r="A42" s="8"/>
      <c r="B42" s="192"/>
      <c r="C42" s="51"/>
      <c r="D42" s="55"/>
      <c r="E42" s="16" t="s">
        <v>1</v>
      </c>
      <c r="F42" s="13" t="s">
        <v>65</v>
      </c>
      <c r="G42" s="8"/>
      <c r="H42" s="8"/>
      <c r="I42" s="8"/>
      <c r="J42" s="8"/>
      <c r="K42" s="8"/>
      <c r="L42" s="8"/>
      <c r="M42" s="8"/>
      <c r="N42" s="8"/>
      <c r="O42" s="8"/>
      <c r="P42" s="8"/>
    </row>
    <row r="43" spans="1:16" ht="15.75" customHeight="1" x14ac:dyDescent="0.25">
      <c r="A43" s="8"/>
      <c r="B43" s="282" t="s">
        <v>66</v>
      </c>
      <c r="C43" s="15" t="s">
        <v>1</v>
      </c>
      <c r="D43" s="43" t="s">
        <v>67</v>
      </c>
      <c r="E43" s="15" t="s">
        <v>1</v>
      </c>
      <c r="F43" s="95" t="s">
        <v>68</v>
      </c>
      <c r="G43" s="8"/>
      <c r="H43" s="8"/>
      <c r="I43" s="8"/>
      <c r="J43" s="8"/>
      <c r="K43" s="8"/>
      <c r="L43" s="8"/>
      <c r="M43" s="8"/>
      <c r="N43" s="8"/>
      <c r="O43" s="8"/>
      <c r="P43" s="8"/>
    </row>
    <row r="44" spans="1:16" ht="31.5" x14ac:dyDescent="0.25">
      <c r="A44" s="8"/>
      <c r="B44" s="283"/>
      <c r="C44" s="26" t="s">
        <v>1</v>
      </c>
      <c r="D44" s="89" t="s">
        <v>69</v>
      </c>
      <c r="E44" s="26" t="s">
        <v>1</v>
      </c>
      <c r="F44" s="12" t="s">
        <v>70</v>
      </c>
      <c r="G44" s="8"/>
      <c r="H44" s="8"/>
      <c r="I44" s="8"/>
      <c r="J44" s="8"/>
      <c r="K44" s="8"/>
      <c r="L44" s="8"/>
      <c r="M44" s="8"/>
      <c r="N44" s="8"/>
      <c r="O44" s="8"/>
      <c r="P44" s="8"/>
    </row>
    <row r="45" spans="1:16" ht="34.5" customHeight="1" x14ac:dyDescent="0.25">
      <c r="A45" s="8"/>
      <c r="B45" s="25" t="s">
        <v>71</v>
      </c>
      <c r="C45" s="38" t="s">
        <v>1</v>
      </c>
      <c r="D45" s="88" t="s">
        <v>72</v>
      </c>
      <c r="E45" s="38" t="s">
        <v>1</v>
      </c>
      <c r="F45" s="87" t="s">
        <v>73</v>
      </c>
      <c r="G45" s="8"/>
      <c r="H45" s="8"/>
      <c r="I45" s="8"/>
      <c r="J45" s="8"/>
      <c r="K45" s="8"/>
      <c r="L45" s="8"/>
      <c r="M45" s="8"/>
      <c r="N45" s="8"/>
      <c r="O45" s="8"/>
      <c r="P45" s="8"/>
    </row>
    <row r="46" spans="1:16" ht="31.5" x14ac:dyDescent="0.25">
      <c r="A46" s="8"/>
      <c r="B46" s="54" t="s">
        <v>74</v>
      </c>
      <c r="C46" s="40" t="s">
        <v>1</v>
      </c>
      <c r="D46" s="48" t="s">
        <v>75</v>
      </c>
      <c r="E46" s="121"/>
      <c r="F46" s="122"/>
      <c r="G46" s="8"/>
      <c r="H46" s="8"/>
      <c r="I46" s="8"/>
      <c r="J46" s="8"/>
      <c r="K46" s="8"/>
      <c r="L46" s="8"/>
      <c r="M46" s="8"/>
      <c r="N46" s="8"/>
      <c r="O46" s="8"/>
      <c r="P46" s="8"/>
    </row>
    <row r="47" spans="1:16" x14ac:dyDescent="0.25">
      <c r="A47" s="8"/>
      <c r="B47" s="123" t="s">
        <v>76</v>
      </c>
      <c r="C47" s="14" t="s">
        <v>1</v>
      </c>
      <c r="D47" s="48" t="s">
        <v>77</v>
      </c>
      <c r="E47" s="40" t="s">
        <v>1</v>
      </c>
      <c r="F47" s="11" t="s">
        <v>78</v>
      </c>
      <c r="G47" s="8"/>
      <c r="H47" s="8"/>
      <c r="I47" s="8"/>
      <c r="K47" s="8"/>
      <c r="L47" s="8"/>
      <c r="M47" s="8"/>
      <c r="N47" s="8"/>
      <c r="O47" s="8"/>
      <c r="P47" s="8"/>
    </row>
    <row r="48" spans="1:16" x14ac:dyDescent="0.25">
      <c r="A48" s="8"/>
      <c r="B48" s="256" t="s">
        <v>79</v>
      </c>
      <c r="C48" s="40" t="s">
        <v>1</v>
      </c>
      <c r="D48" s="48" t="s">
        <v>80</v>
      </c>
      <c r="E48" s="40" t="s">
        <v>1</v>
      </c>
      <c r="F48" s="11" t="s">
        <v>81</v>
      </c>
      <c r="G48" s="8"/>
      <c r="H48" s="8"/>
      <c r="I48" s="8"/>
      <c r="J48" s="8"/>
      <c r="K48" s="8"/>
      <c r="L48" s="8"/>
      <c r="M48" s="8"/>
      <c r="N48" s="8"/>
      <c r="O48" s="8"/>
      <c r="P48" s="8"/>
    </row>
    <row r="49" spans="1:16" x14ac:dyDescent="0.25">
      <c r="A49" s="8"/>
      <c r="B49" s="257"/>
      <c r="C49" s="51" t="s">
        <v>1</v>
      </c>
      <c r="D49" s="120" t="s">
        <v>82</v>
      </c>
      <c r="E49" s="51" t="s">
        <v>1</v>
      </c>
      <c r="F49" s="125" t="s">
        <v>83</v>
      </c>
      <c r="G49" s="8"/>
      <c r="H49" s="8"/>
      <c r="I49" s="8"/>
      <c r="J49" s="8"/>
      <c r="K49" s="8"/>
      <c r="L49" s="8"/>
      <c r="M49" s="8"/>
      <c r="N49" s="8"/>
      <c r="O49" s="8"/>
      <c r="P49" s="8"/>
    </row>
    <row r="50" spans="1:16" ht="31.5" x14ac:dyDescent="0.25">
      <c r="A50" s="8"/>
      <c r="B50" s="25" t="s">
        <v>84</v>
      </c>
      <c r="C50" s="26" t="s">
        <v>1</v>
      </c>
      <c r="D50" s="43" t="s">
        <v>85</v>
      </c>
      <c r="E50" s="50"/>
      <c r="F50" s="34"/>
      <c r="G50" s="8"/>
      <c r="H50" s="8"/>
      <c r="I50" s="8"/>
      <c r="J50" s="8"/>
      <c r="K50" s="8"/>
      <c r="L50" s="8"/>
      <c r="M50" s="8"/>
      <c r="N50" s="8"/>
      <c r="O50" s="8"/>
      <c r="P50" s="8"/>
    </row>
    <row r="51" spans="1:16" ht="243" customHeight="1" x14ac:dyDescent="0.25">
      <c r="A51" s="8"/>
      <c r="B51" s="54" t="s">
        <v>86</v>
      </c>
      <c r="C51" s="40" t="s">
        <v>1</v>
      </c>
      <c r="D51" s="48" t="s">
        <v>87</v>
      </c>
      <c r="E51" s="49"/>
      <c r="F51" s="32"/>
      <c r="G51" s="110"/>
      <c r="H51" s="8"/>
      <c r="I51" s="8"/>
      <c r="J51" s="8"/>
      <c r="K51" s="8"/>
      <c r="L51" s="8"/>
      <c r="M51" s="8"/>
      <c r="N51" s="8"/>
      <c r="O51" s="8"/>
      <c r="P51" s="8"/>
    </row>
    <row r="52" spans="1:16" ht="15.75" customHeight="1" x14ac:dyDescent="0.25">
      <c r="A52" s="8"/>
      <c r="B52" s="191" t="s">
        <v>88</v>
      </c>
      <c r="C52" s="14" t="s">
        <v>1</v>
      </c>
      <c r="D52" s="44" t="s">
        <v>89</v>
      </c>
      <c r="E52" s="17" t="s">
        <v>1</v>
      </c>
      <c r="F52" s="52" t="s">
        <v>90</v>
      </c>
      <c r="G52" s="110"/>
      <c r="H52" s="8"/>
      <c r="I52" s="8"/>
      <c r="J52" s="8"/>
      <c r="K52" s="8"/>
      <c r="L52" s="8"/>
      <c r="M52" s="8"/>
      <c r="N52" s="8"/>
      <c r="O52" s="8"/>
      <c r="P52" s="8"/>
    </row>
    <row r="53" spans="1:16" ht="18.75" x14ac:dyDescent="0.25">
      <c r="A53" s="8"/>
      <c r="B53" s="267" t="s">
        <v>91</v>
      </c>
      <c r="C53" s="268"/>
      <c r="D53" s="268"/>
      <c r="E53" s="268"/>
      <c r="F53" s="269"/>
      <c r="G53" s="10"/>
      <c r="H53" s="10"/>
      <c r="I53" s="10"/>
      <c r="J53" s="10"/>
      <c r="K53" s="10"/>
      <c r="L53" s="10"/>
      <c r="M53" s="10"/>
      <c r="N53" s="10"/>
      <c r="O53" s="10"/>
      <c r="P53" s="10"/>
    </row>
    <row r="54" spans="1:16" ht="31.5" x14ac:dyDescent="0.25">
      <c r="A54" s="8"/>
      <c r="B54" s="100" t="s">
        <v>92</v>
      </c>
      <c r="C54" s="40" t="s">
        <v>1</v>
      </c>
      <c r="D54" s="48" t="s">
        <v>93</v>
      </c>
      <c r="E54" s="38" t="s">
        <v>1</v>
      </c>
      <c r="F54" s="99" t="s">
        <v>94</v>
      </c>
      <c r="G54" s="8"/>
      <c r="H54" s="8"/>
      <c r="I54" s="8"/>
      <c r="J54" s="8"/>
      <c r="K54" s="8"/>
      <c r="L54" s="8"/>
      <c r="M54" s="8"/>
      <c r="N54" s="8"/>
      <c r="O54" s="8"/>
      <c r="P54" s="8"/>
    </row>
    <row r="55" spans="1:16" ht="31.5" x14ac:dyDescent="0.25">
      <c r="A55" s="8"/>
      <c r="B55" s="262" t="s">
        <v>95</v>
      </c>
      <c r="C55" s="40" t="s">
        <v>1</v>
      </c>
      <c r="D55" s="27" t="s">
        <v>96</v>
      </c>
      <c r="E55" s="56" t="s">
        <v>1</v>
      </c>
      <c r="F55" s="41" t="s">
        <v>97</v>
      </c>
      <c r="G55" s="8"/>
      <c r="H55" s="8"/>
      <c r="I55" s="8"/>
      <c r="J55" s="8"/>
      <c r="K55" s="8"/>
      <c r="L55" s="8"/>
      <c r="M55" s="8"/>
      <c r="N55" s="8"/>
      <c r="O55" s="8"/>
      <c r="P55" s="8"/>
    </row>
    <row r="56" spans="1:16" ht="15.75" customHeight="1" x14ac:dyDescent="0.25">
      <c r="A56" s="8"/>
      <c r="B56" s="263"/>
      <c r="C56" s="26" t="s">
        <v>1</v>
      </c>
      <c r="D56" s="258" t="s">
        <v>98</v>
      </c>
      <c r="E56" s="126" t="s">
        <v>1</v>
      </c>
      <c r="F56" s="2" t="s">
        <v>99</v>
      </c>
      <c r="G56" s="8"/>
      <c r="H56" s="8"/>
      <c r="I56" s="8"/>
      <c r="J56" s="8"/>
      <c r="K56" s="8"/>
      <c r="L56" s="8"/>
      <c r="M56" s="8"/>
      <c r="N56" s="8"/>
      <c r="O56" s="8"/>
      <c r="P56" s="8"/>
    </row>
    <row r="57" spans="1:16" ht="33" customHeight="1" x14ac:dyDescent="0.25">
      <c r="A57" s="8"/>
      <c r="B57" s="193"/>
      <c r="C57" s="51"/>
      <c r="D57" s="259"/>
      <c r="E57" s="126" t="s">
        <v>1</v>
      </c>
      <c r="F57" s="124" t="s">
        <v>100</v>
      </c>
      <c r="G57" s="8"/>
      <c r="H57" s="8"/>
      <c r="I57" s="8"/>
      <c r="J57" s="8"/>
      <c r="K57" s="8"/>
      <c r="L57" s="8"/>
      <c r="M57" s="8"/>
      <c r="N57" s="8"/>
      <c r="O57" s="8"/>
      <c r="P57" s="8"/>
    </row>
    <row r="58" spans="1:16" ht="15.75" customHeight="1" x14ac:dyDescent="0.25">
      <c r="A58" s="8"/>
      <c r="B58" s="264" t="s">
        <v>101</v>
      </c>
      <c r="C58" s="15" t="s">
        <v>1</v>
      </c>
      <c r="D58" s="272" t="s">
        <v>102</v>
      </c>
      <c r="E58" s="40" t="s">
        <v>1</v>
      </c>
      <c r="F58" s="11" t="s">
        <v>103</v>
      </c>
      <c r="G58" s="8"/>
      <c r="H58" s="8"/>
      <c r="I58" s="8"/>
      <c r="J58" s="8"/>
      <c r="K58" s="8"/>
      <c r="L58" s="8"/>
      <c r="M58" s="8"/>
      <c r="N58" s="8"/>
      <c r="O58" s="8"/>
      <c r="P58" s="8"/>
    </row>
    <row r="59" spans="1:16" x14ac:dyDescent="0.25">
      <c r="A59" s="8"/>
      <c r="B59" s="265"/>
      <c r="D59" s="272"/>
      <c r="E59" s="15" t="s">
        <v>1</v>
      </c>
      <c r="F59" s="12" t="s">
        <v>104</v>
      </c>
      <c r="G59" s="8"/>
      <c r="H59" s="8"/>
      <c r="I59" s="8"/>
      <c r="J59" s="8"/>
      <c r="K59" s="8"/>
      <c r="L59" s="8"/>
      <c r="M59" s="8"/>
      <c r="N59" s="8"/>
      <c r="O59" s="8"/>
      <c r="P59" s="8"/>
    </row>
    <row r="60" spans="1:16" x14ac:dyDescent="0.25">
      <c r="A60" s="8"/>
      <c r="B60" s="266"/>
      <c r="E60" s="50"/>
      <c r="F60" s="34"/>
      <c r="G60" s="8"/>
      <c r="H60" s="8"/>
      <c r="I60" s="8"/>
      <c r="J60" s="8"/>
      <c r="K60" s="8"/>
      <c r="L60" s="8"/>
      <c r="M60" s="8"/>
      <c r="N60" s="8"/>
      <c r="O60" s="8"/>
      <c r="P60" s="8"/>
    </row>
    <row r="61" spans="1:16" ht="31.5" x14ac:dyDescent="0.25">
      <c r="A61" s="8"/>
      <c r="B61" s="194" t="s">
        <v>105</v>
      </c>
      <c r="C61" s="40" t="s">
        <v>1</v>
      </c>
      <c r="D61" s="48" t="s">
        <v>106</v>
      </c>
      <c r="E61" s="40" t="s">
        <v>1</v>
      </c>
      <c r="F61" s="41" t="s">
        <v>104</v>
      </c>
      <c r="G61" s="8"/>
      <c r="H61" s="8"/>
      <c r="I61" s="8"/>
      <c r="J61" s="8"/>
      <c r="K61" s="8"/>
      <c r="L61" s="8"/>
      <c r="M61" s="8"/>
      <c r="N61" s="8"/>
      <c r="O61" s="8"/>
      <c r="P61" s="8"/>
    </row>
    <row r="62" spans="1:16" ht="31.5" x14ac:dyDescent="0.25">
      <c r="A62" s="8"/>
      <c r="B62" s="194" t="s">
        <v>107</v>
      </c>
      <c r="C62" s="38" t="s">
        <v>1</v>
      </c>
      <c r="D62" s="91" t="s">
        <v>108</v>
      </c>
      <c r="E62" s="17" t="s">
        <v>1</v>
      </c>
      <c r="F62" s="52" t="s">
        <v>104</v>
      </c>
      <c r="G62" s="8"/>
      <c r="H62" s="8"/>
      <c r="I62" s="8"/>
      <c r="J62" s="8"/>
      <c r="K62" s="8"/>
      <c r="L62" s="8"/>
      <c r="M62" s="8"/>
      <c r="N62" s="8"/>
      <c r="O62" s="8"/>
      <c r="P62" s="8"/>
    </row>
    <row r="63" spans="1:16" ht="18.75" x14ac:dyDescent="0.25">
      <c r="A63" s="8"/>
      <c r="B63" s="270" t="s">
        <v>109</v>
      </c>
      <c r="C63" s="271"/>
      <c r="D63" s="271"/>
      <c r="E63" s="271"/>
      <c r="F63" s="281"/>
      <c r="G63" s="10"/>
      <c r="H63" s="10"/>
      <c r="I63" s="10"/>
      <c r="J63" s="10"/>
      <c r="K63" s="10"/>
      <c r="L63" s="10"/>
      <c r="M63" s="10"/>
      <c r="N63" s="10"/>
      <c r="O63" s="10"/>
      <c r="P63" s="10"/>
    </row>
    <row r="64" spans="1:16" ht="31.5" x14ac:dyDescent="0.25">
      <c r="A64" s="8"/>
      <c r="B64" s="263" t="s">
        <v>110</v>
      </c>
      <c r="C64" s="26" t="s">
        <v>1</v>
      </c>
      <c r="D64" s="46" t="s">
        <v>111</v>
      </c>
      <c r="E64" s="26" t="s">
        <v>1</v>
      </c>
      <c r="F64" s="103" t="s">
        <v>112</v>
      </c>
      <c r="G64" s="8"/>
      <c r="H64" s="101"/>
      <c r="I64" s="8"/>
      <c r="J64" s="8"/>
      <c r="K64" s="8"/>
      <c r="L64" s="8"/>
      <c r="M64" s="8"/>
      <c r="N64" s="8"/>
      <c r="O64" s="8"/>
      <c r="P64" s="8"/>
    </row>
    <row r="65" spans="1:16" ht="63" x14ac:dyDescent="0.25">
      <c r="A65" s="8"/>
      <c r="B65" s="263"/>
      <c r="C65" s="26" t="s">
        <v>1</v>
      </c>
      <c r="D65" s="46" t="s">
        <v>113</v>
      </c>
      <c r="E65" s="26" t="s">
        <v>1</v>
      </c>
      <c r="F65" s="103" t="s">
        <v>114</v>
      </c>
      <c r="G65" s="8"/>
      <c r="H65" s="102"/>
      <c r="I65" s="8"/>
      <c r="J65" s="8"/>
      <c r="K65" s="8"/>
      <c r="L65" s="8"/>
      <c r="M65" s="8"/>
      <c r="N65" s="8"/>
      <c r="O65" s="8"/>
      <c r="P65" s="8"/>
    </row>
    <row r="66" spans="1:16" ht="31.5" x14ac:dyDescent="0.25">
      <c r="A66" s="8"/>
      <c r="B66" s="263"/>
      <c r="C66" s="26"/>
      <c r="E66" s="51" t="s">
        <v>1</v>
      </c>
      <c r="F66" s="21" t="s">
        <v>115</v>
      </c>
      <c r="G66" s="8"/>
      <c r="H66" s="8"/>
      <c r="I66" s="8"/>
      <c r="J66" s="8"/>
      <c r="K66" s="8"/>
      <c r="L66" s="8"/>
      <c r="M66" s="8"/>
      <c r="N66" s="8"/>
      <c r="O66" s="8"/>
      <c r="P66" s="8"/>
    </row>
    <row r="67" spans="1:16" ht="18.75" x14ac:dyDescent="0.25">
      <c r="A67" s="8"/>
      <c r="B67" s="270" t="s">
        <v>116</v>
      </c>
      <c r="C67" s="271"/>
      <c r="D67" s="271"/>
      <c r="E67" s="271"/>
      <c r="F67" s="281"/>
      <c r="G67" s="10"/>
      <c r="H67" s="10"/>
      <c r="I67" s="10"/>
      <c r="J67" s="10"/>
      <c r="K67" s="10"/>
      <c r="L67" s="10"/>
      <c r="M67" s="10"/>
      <c r="N67" s="10"/>
      <c r="O67" s="10"/>
      <c r="P67" s="10"/>
    </row>
    <row r="68" spans="1:16" ht="47.25" x14ac:dyDescent="0.25">
      <c r="A68" s="8"/>
      <c r="B68" s="193" t="s">
        <v>117</v>
      </c>
      <c r="C68" s="26" t="s">
        <v>1</v>
      </c>
      <c r="D68" s="118" t="s">
        <v>118</v>
      </c>
      <c r="E68" s="38" t="s">
        <v>1</v>
      </c>
      <c r="F68" s="53" t="s">
        <v>119</v>
      </c>
      <c r="G68" s="8"/>
      <c r="H68" s="8"/>
      <c r="I68" s="8"/>
      <c r="J68" s="8"/>
      <c r="K68" s="8"/>
      <c r="L68" s="8"/>
      <c r="M68" s="8"/>
      <c r="N68" s="8"/>
      <c r="O68" s="8"/>
      <c r="P68" s="8"/>
    </row>
    <row r="69" spans="1:16" ht="15.75" customHeight="1" x14ac:dyDescent="0.25">
      <c r="A69" s="8"/>
      <c r="B69" s="267" t="s">
        <v>120</v>
      </c>
      <c r="C69" s="268"/>
      <c r="D69" s="268"/>
      <c r="E69" s="268"/>
      <c r="F69" s="269"/>
      <c r="G69" s="10"/>
      <c r="H69" s="10"/>
      <c r="I69" s="10"/>
      <c r="J69" s="10"/>
      <c r="K69" s="10"/>
      <c r="L69" s="10"/>
      <c r="M69" s="10"/>
      <c r="N69" s="10"/>
      <c r="O69" s="10"/>
      <c r="P69" s="10"/>
    </row>
    <row r="70" spans="1:16" ht="31.5" x14ac:dyDescent="0.25">
      <c r="A70" s="8"/>
      <c r="B70" s="262" t="s">
        <v>121</v>
      </c>
      <c r="C70" s="40" t="s">
        <v>1</v>
      </c>
      <c r="D70" s="45" t="s">
        <v>122</v>
      </c>
      <c r="E70" s="40" t="s">
        <v>1</v>
      </c>
      <c r="F70" s="22" t="s">
        <v>123</v>
      </c>
      <c r="G70" s="8"/>
      <c r="H70" s="8"/>
      <c r="I70" s="8"/>
      <c r="J70" s="8"/>
      <c r="K70" s="8"/>
      <c r="L70" s="8"/>
      <c r="M70" s="8"/>
      <c r="N70" s="8"/>
      <c r="O70" s="8"/>
      <c r="P70" s="8"/>
    </row>
    <row r="71" spans="1:16" ht="31.5" x14ac:dyDescent="0.25">
      <c r="A71" s="8"/>
      <c r="B71" s="263"/>
      <c r="C71" s="49"/>
      <c r="D71" s="8"/>
      <c r="E71" s="51" t="s">
        <v>1</v>
      </c>
      <c r="F71" s="21" t="s">
        <v>124</v>
      </c>
      <c r="G71" s="8"/>
      <c r="H71" s="8"/>
      <c r="I71" s="8"/>
      <c r="J71" s="8"/>
      <c r="K71" s="8"/>
      <c r="L71" s="8"/>
      <c r="M71" s="8"/>
      <c r="N71" s="8"/>
      <c r="O71" s="8"/>
      <c r="P71" s="8"/>
    </row>
    <row r="72" spans="1:16" ht="18.75" x14ac:dyDescent="0.25">
      <c r="A72" s="8"/>
      <c r="B72" s="270" t="s">
        <v>125</v>
      </c>
      <c r="C72" s="271"/>
      <c r="D72" s="271"/>
      <c r="E72" s="268"/>
      <c r="F72" s="269"/>
      <c r="G72" s="8"/>
      <c r="H72" s="8"/>
      <c r="I72" s="8"/>
      <c r="J72" s="8"/>
      <c r="K72" s="8"/>
      <c r="L72" s="8"/>
      <c r="M72" s="8"/>
      <c r="N72" s="8"/>
      <c r="O72" s="8"/>
      <c r="P72" s="8"/>
    </row>
    <row r="73" spans="1:16" ht="31.5" x14ac:dyDescent="0.25">
      <c r="A73" s="8"/>
      <c r="B73" s="194" t="s">
        <v>126</v>
      </c>
      <c r="C73" s="40" t="s">
        <v>1</v>
      </c>
      <c r="D73" s="41" t="s">
        <v>127</v>
      </c>
      <c r="E73" s="40" t="s">
        <v>1</v>
      </c>
      <c r="F73" s="22" t="s">
        <v>128</v>
      </c>
      <c r="G73" s="8"/>
      <c r="H73" s="8"/>
      <c r="I73" s="8"/>
      <c r="J73" s="8"/>
      <c r="K73" s="8"/>
      <c r="L73" s="8"/>
      <c r="M73" s="8"/>
      <c r="N73" s="8"/>
      <c r="O73" s="8"/>
      <c r="P73" s="8"/>
    </row>
    <row r="74" spans="1:16" ht="47.25" x14ac:dyDescent="0.25">
      <c r="A74" s="8"/>
      <c r="B74" s="195"/>
      <c r="C74" s="51"/>
      <c r="D74" s="57"/>
      <c r="E74" s="51" t="s">
        <v>1</v>
      </c>
      <c r="F74" s="21" t="s">
        <v>129</v>
      </c>
      <c r="G74" s="8"/>
      <c r="H74" s="8"/>
      <c r="I74" s="8"/>
      <c r="J74" s="8"/>
      <c r="K74" s="8"/>
      <c r="L74" s="8"/>
      <c r="M74" s="8"/>
      <c r="N74" s="8"/>
      <c r="O74" s="8"/>
      <c r="P74" s="8"/>
    </row>
    <row r="75" spans="1:16" ht="15.75" customHeight="1" x14ac:dyDescent="0.25">
      <c r="A75" s="8"/>
      <c r="B75" s="270" t="s">
        <v>130</v>
      </c>
      <c r="C75" s="271"/>
      <c r="D75" s="271"/>
      <c r="E75" s="276"/>
      <c r="F75" s="277"/>
      <c r="G75" s="8"/>
      <c r="H75" s="8"/>
      <c r="I75" s="8"/>
      <c r="J75" s="8"/>
      <c r="K75" s="8"/>
      <c r="L75" s="8"/>
      <c r="M75" s="8"/>
      <c r="N75" s="8"/>
      <c r="O75" s="8"/>
      <c r="P75" s="8"/>
    </row>
    <row r="76" spans="1:16" ht="31.5" customHeight="1" x14ac:dyDescent="0.25">
      <c r="A76" s="8"/>
      <c r="B76" s="38" t="s">
        <v>1</v>
      </c>
      <c r="C76" s="260" t="s">
        <v>131</v>
      </c>
      <c r="D76" s="260"/>
      <c r="E76" s="260"/>
      <c r="F76" s="261"/>
      <c r="G76" s="8"/>
      <c r="H76" s="8"/>
      <c r="I76" s="8"/>
      <c r="J76" s="8"/>
      <c r="K76" s="8"/>
      <c r="L76" s="8"/>
      <c r="M76" s="8"/>
      <c r="N76" s="8"/>
      <c r="O76" s="8"/>
      <c r="P76" s="8"/>
    </row>
    <row r="77" spans="1:16" ht="33" customHeight="1" x14ac:dyDescent="0.25">
      <c r="A77" s="8"/>
      <c r="B77" s="38" t="s">
        <v>1</v>
      </c>
      <c r="C77" s="260" t="s">
        <v>132</v>
      </c>
      <c r="D77" s="260"/>
      <c r="E77" s="260"/>
      <c r="F77" s="261"/>
      <c r="G77" s="8"/>
      <c r="H77" s="8"/>
      <c r="I77" s="8"/>
      <c r="J77" s="8"/>
      <c r="K77" s="8"/>
      <c r="L77" s="8"/>
      <c r="M77" s="8"/>
      <c r="N77" s="8"/>
      <c r="O77" s="8"/>
      <c r="P77" s="8"/>
    </row>
    <row r="78" spans="1:16" x14ac:dyDescent="0.25">
      <c r="A78" s="8"/>
      <c r="B78" s="9"/>
      <c r="C78" s="9"/>
      <c r="D78" s="9"/>
      <c r="E78" s="8"/>
      <c r="G78" s="8"/>
      <c r="H78" s="8"/>
      <c r="I78" s="8"/>
      <c r="J78" s="8"/>
      <c r="K78" s="8"/>
      <c r="L78" s="8"/>
      <c r="M78" s="8"/>
      <c r="N78" s="8"/>
      <c r="O78" s="8"/>
      <c r="P78" s="8"/>
    </row>
    <row r="79" spans="1:16" ht="18.75" x14ac:dyDescent="0.3">
      <c r="A79" s="8"/>
      <c r="B79" s="278" t="s">
        <v>133</v>
      </c>
      <c r="C79" s="279"/>
      <c r="D79" s="280"/>
      <c r="E79" s="8"/>
      <c r="G79" s="8"/>
      <c r="H79" s="8"/>
      <c r="I79" s="8"/>
      <c r="J79" s="8"/>
      <c r="K79" s="8"/>
      <c r="L79" s="8"/>
      <c r="M79" s="8"/>
      <c r="N79" s="8"/>
      <c r="O79" s="8"/>
      <c r="P79" s="8"/>
    </row>
    <row r="80" spans="1:16" x14ac:dyDescent="0.25">
      <c r="A80" s="8"/>
      <c r="B80" s="35" t="s">
        <v>134</v>
      </c>
      <c r="C80" s="31"/>
      <c r="D80" s="11" t="s">
        <v>135</v>
      </c>
      <c r="E80" s="8"/>
      <c r="G80" s="8"/>
      <c r="H80" s="8"/>
      <c r="I80" s="8"/>
      <c r="J80" s="8"/>
      <c r="K80" s="8"/>
      <c r="L80" s="8"/>
      <c r="M80" s="8"/>
      <c r="N80" s="8"/>
      <c r="O80" s="8"/>
      <c r="P80" s="8"/>
    </row>
    <row r="81" spans="1:16" ht="15.75" customHeight="1" x14ac:dyDescent="0.25">
      <c r="A81" s="8"/>
      <c r="B81" s="36" t="s">
        <v>136</v>
      </c>
      <c r="C81" s="30"/>
      <c r="D81" s="23" t="s">
        <v>137</v>
      </c>
      <c r="E81" s="8"/>
      <c r="G81" s="8"/>
      <c r="H81" s="8"/>
      <c r="I81" s="8"/>
      <c r="J81" s="8"/>
      <c r="K81" s="8"/>
      <c r="L81" s="8"/>
      <c r="M81" s="8"/>
      <c r="N81" s="8"/>
      <c r="O81" s="8"/>
      <c r="P81" s="8"/>
    </row>
    <row r="82" spans="1:16" x14ac:dyDescent="0.25">
      <c r="A82" s="8"/>
      <c r="B82" s="36" t="s">
        <v>138</v>
      </c>
      <c r="C82" s="9"/>
      <c r="D82" s="28" t="s">
        <v>139</v>
      </c>
      <c r="E82" s="8"/>
      <c r="G82" s="8"/>
      <c r="H82" s="8"/>
      <c r="I82" s="8"/>
      <c r="J82" s="8"/>
      <c r="K82" s="8"/>
      <c r="L82" s="8"/>
      <c r="M82" s="8"/>
      <c r="N82" s="8"/>
      <c r="O82" s="8"/>
      <c r="P82" s="8"/>
    </row>
    <row r="83" spans="1:16" x14ac:dyDescent="0.25">
      <c r="A83" s="8"/>
      <c r="B83" s="36" t="s">
        <v>140</v>
      </c>
      <c r="C83" s="10"/>
      <c r="D83" s="28" t="s">
        <v>141</v>
      </c>
      <c r="E83" s="10"/>
      <c r="G83" s="10"/>
      <c r="H83" s="10"/>
      <c r="I83" s="10"/>
      <c r="J83" s="10"/>
      <c r="K83" s="10"/>
      <c r="L83" s="10"/>
      <c r="M83" s="10"/>
      <c r="N83" s="10"/>
      <c r="O83" s="10"/>
      <c r="P83" s="10"/>
    </row>
    <row r="84" spans="1:16" x14ac:dyDescent="0.25">
      <c r="A84" s="8"/>
      <c r="B84" s="36" t="s">
        <v>142</v>
      </c>
      <c r="C84" s="9"/>
      <c r="D84" s="28" t="s">
        <v>143</v>
      </c>
      <c r="E84" s="8"/>
      <c r="F84" s="8"/>
      <c r="G84" s="8"/>
      <c r="H84" s="8"/>
      <c r="I84" s="8"/>
      <c r="J84" s="8"/>
      <c r="K84" s="8"/>
      <c r="L84" s="8"/>
      <c r="M84" s="8"/>
      <c r="N84" s="8"/>
      <c r="O84" s="8"/>
      <c r="P84" s="8"/>
    </row>
    <row r="85" spans="1:16" x14ac:dyDescent="0.25">
      <c r="B85" s="36" t="s">
        <v>144</v>
      </c>
      <c r="C85" s="9"/>
      <c r="D85" s="28" t="s">
        <v>145</v>
      </c>
      <c r="E85" s="8"/>
      <c r="F85" s="8"/>
      <c r="G85" s="8"/>
      <c r="H85" s="8"/>
      <c r="I85" s="8"/>
      <c r="J85" s="8"/>
      <c r="K85" s="8"/>
      <c r="L85" s="8"/>
      <c r="M85" s="8"/>
      <c r="N85" s="8"/>
      <c r="O85" s="8"/>
      <c r="P85" s="8"/>
    </row>
    <row r="86" spans="1:16" ht="15.75" customHeight="1" x14ac:dyDescent="0.25">
      <c r="A86" s="8"/>
      <c r="B86" s="36" t="s">
        <v>146</v>
      </c>
      <c r="C86" s="10"/>
      <c r="D86" s="28" t="s">
        <v>147</v>
      </c>
      <c r="E86" s="10"/>
      <c r="F86" s="10"/>
      <c r="G86" s="10"/>
      <c r="H86" s="10"/>
      <c r="I86" s="10"/>
      <c r="J86" s="10"/>
      <c r="K86" s="10"/>
      <c r="L86" s="10"/>
      <c r="M86" s="10"/>
      <c r="N86" s="10"/>
      <c r="O86" s="10"/>
      <c r="P86" s="10"/>
    </row>
    <row r="87" spans="1:16" ht="18.75" x14ac:dyDescent="0.3">
      <c r="B87" s="115" t="s">
        <v>148</v>
      </c>
      <c r="C87" s="116"/>
      <c r="D87" s="117" t="s">
        <v>149</v>
      </c>
    </row>
    <row r="88" spans="1:16" x14ac:dyDescent="0.25">
      <c r="B88" s="37" t="s">
        <v>150</v>
      </c>
      <c r="C88" s="33"/>
      <c r="D88" s="34" t="s">
        <v>151</v>
      </c>
    </row>
    <row r="91" spans="1:16" ht="18.75" x14ac:dyDescent="0.3">
      <c r="B91" s="278" t="s">
        <v>152</v>
      </c>
      <c r="C91" s="279"/>
      <c r="D91" s="280"/>
    </row>
    <row r="92" spans="1:16" ht="15.75" customHeight="1" x14ac:dyDescent="0.25">
      <c r="B92" s="273" t="s">
        <v>153</v>
      </c>
      <c r="C92" s="31"/>
      <c r="D92" s="63" t="s">
        <v>154</v>
      </c>
    </row>
    <row r="93" spans="1:16" ht="15.75" customHeight="1" x14ac:dyDescent="0.25">
      <c r="B93" s="274"/>
      <c r="C93" s="30"/>
      <c r="D93" s="64" t="s">
        <v>155</v>
      </c>
    </row>
    <row r="94" spans="1:16" ht="15.75" customHeight="1" x14ac:dyDescent="0.25">
      <c r="B94" s="274"/>
      <c r="C94" s="9"/>
      <c r="D94" s="64" t="s">
        <v>156</v>
      </c>
    </row>
    <row r="95" spans="1:16" ht="15.75" customHeight="1" x14ac:dyDescent="0.25">
      <c r="B95" s="274"/>
      <c r="C95" s="10"/>
      <c r="D95" s="64" t="s">
        <v>157</v>
      </c>
    </row>
    <row r="96" spans="1:16" ht="15.75" customHeight="1" x14ac:dyDescent="0.25">
      <c r="B96" s="274"/>
      <c r="C96" s="9"/>
      <c r="D96" s="64" t="s">
        <v>158</v>
      </c>
    </row>
    <row r="97" spans="2:11" ht="15.75" customHeight="1" x14ac:dyDescent="0.25">
      <c r="B97" s="274"/>
      <c r="C97" s="9"/>
      <c r="D97" s="64" t="s">
        <v>159</v>
      </c>
    </row>
    <row r="98" spans="2:11" ht="15.75" customHeight="1" x14ac:dyDescent="0.25">
      <c r="B98" s="275"/>
      <c r="C98" s="62"/>
      <c r="D98" s="65" t="s">
        <v>160</v>
      </c>
      <c r="F98" s="127"/>
      <c r="G98" s="127"/>
      <c r="H98" s="127"/>
      <c r="I98" s="127"/>
      <c r="J98" s="127"/>
      <c r="K98" s="127"/>
    </row>
    <row r="99" spans="2:11" ht="31.5" x14ac:dyDescent="0.3">
      <c r="B99" s="66" t="s">
        <v>161</v>
      </c>
      <c r="C99" s="67"/>
      <c r="D99" s="68" t="s">
        <v>162</v>
      </c>
      <c r="F99" s="128"/>
      <c r="G99" s="128"/>
      <c r="H99" s="128"/>
      <c r="I99" s="128"/>
    </row>
    <row r="100" spans="2:11" ht="15.75" customHeight="1" x14ac:dyDescent="0.3">
      <c r="B100" s="37"/>
      <c r="C100" s="69"/>
      <c r="D100" s="70" t="s">
        <v>163</v>
      </c>
      <c r="F100" s="284"/>
      <c r="G100" s="284"/>
      <c r="H100" s="128"/>
      <c r="I100" s="128"/>
      <c r="J100" s="128"/>
      <c r="K100" s="128"/>
    </row>
    <row r="101" spans="2:11" ht="31.5" x14ac:dyDescent="0.25">
      <c r="B101" s="273" t="s">
        <v>164</v>
      </c>
      <c r="C101" s="40" t="s">
        <v>1</v>
      </c>
      <c r="D101" s="68" t="s">
        <v>165</v>
      </c>
      <c r="F101" s="284"/>
      <c r="G101" s="284"/>
      <c r="H101" s="128"/>
      <c r="I101" s="128"/>
      <c r="J101" s="128"/>
      <c r="K101" s="128"/>
    </row>
    <row r="102" spans="2:11" ht="47.25" x14ac:dyDescent="0.25">
      <c r="B102" s="274"/>
      <c r="C102" s="26" t="s">
        <v>1</v>
      </c>
      <c r="D102" s="71" t="s">
        <v>166</v>
      </c>
      <c r="F102" s="284"/>
      <c r="G102" s="284"/>
      <c r="H102" s="128"/>
      <c r="I102" s="128"/>
      <c r="J102" s="128"/>
      <c r="K102" s="128"/>
    </row>
    <row r="103" spans="2:11" x14ac:dyDescent="0.25">
      <c r="B103" s="274"/>
      <c r="C103" s="26"/>
      <c r="D103" s="77"/>
      <c r="F103" s="284"/>
      <c r="G103" s="284"/>
      <c r="H103" s="128"/>
      <c r="I103" s="128"/>
      <c r="J103" s="128"/>
      <c r="K103" s="128"/>
    </row>
    <row r="104" spans="2:11" x14ac:dyDescent="0.25">
      <c r="B104" s="274"/>
      <c r="C104" s="75" t="s">
        <v>167</v>
      </c>
      <c r="D104" s="32"/>
      <c r="E104" s="58"/>
      <c r="F104" s="284"/>
      <c r="G104" s="284"/>
      <c r="H104" s="128"/>
      <c r="I104" s="128"/>
      <c r="J104" s="128"/>
      <c r="K104" s="128"/>
    </row>
    <row r="105" spans="2:11" x14ac:dyDescent="0.25">
      <c r="B105" s="274"/>
      <c r="C105" s="49"/>
      <c r="D105" s="72" t="s">
        <v>168</v>
      </c>
      <c r="F105" s="284"/>
      <c r="G105" s="284"/>
      <c r="H105" s="128"/>
      <c r="I105" s="128"/>
      <c r="J105" s="128"/>
      <c r="K105" s="128"/>
    </row>
    <row r="106" spans="2:11" x14ac:dyDescent="0.25">
      <c r="B106" s="274"/>
      <c r="C106" s="73">
        <v>2010</v>
      </c>
      <c r="D106" s="74">
        <v>92.05</v>
      </c>
      <c r="F106" s="284"/>
      <c r="G106" s="284"/>
      <c r="H106" s="128"/>
      <c r="I106" s="128"/>
      <c r="J106" s="128"/>
      <c r="K106" s="128"/>
    </row>
    <row r="107" spans="2:11" x14ac:dyDescent="0.25">
      <c r="B107" s="274"/>
      <c r="C107" s="73">
        <v>2011</v>
      </c>
      <c r="D107" s="74">
        <v>94.32</v>
      </c>
      <c r="F107" s="284"/>
      <c r="G107" s="284"/>
      <c r="H107" s="128"/>
      <c r="I107" s="128"/>
      <c r="J107" s="128"/>
      <c r="K107" s="128"/>
    </row>
    <row r="108" spans="2:11" x14ac:dyDescent="0.25">
      <c r="B108" s="274"/>
      <c r="C108" s="73">
        <v>2012</v>
      </c>
      <c r="D108" s="74">
        <v>96.99</v>
      </c>
      <c r="F108" s="284"/>
      <c r="G108" s="284"/>
      <c r="H108" s="128"/>
      <c r="I108" s="128"/>
      <c r="J108" s="128"/>
      <c r="K108" s="128"/>
    </row>
    <row r="109" spans="2:11" x14ac:dyDescent="0.25">
      <c r="B109" s="274"/>
      <c r="C109" s="73">
        <v>2013</v>
      </c>
      <c r="D109" s="74">
        <v>99.47</v>
      </c>
      <c r="F109" s="284"/>
      <c r="G109" s="284"/>
      <c r="H109" s="128"/>
      <c r="I109" s="128"/>
      <c r="J109" s="128"/>
      <c r="K109" s="128"/>
    </row>
    <row r="110" spans="2:11" x14ac:dyDescent="0.25">
      <c r="B110" s="274"/>
      <c r="C110" s="73">
        <v>2014</v>
      </c>
      <c r="D110" s="74">
        <v>99.79</v>
      </c>
      <c r="F110" s="284"/>
      <c r="G110" s="284"/>
      <c r="H110" s="128"/>
      <c r="I110" s="128"/>
      <c r="J110" s="128"/>
      <c r="K110" s="128"/>
    </row>
    <row r="111" spans="2:11" x14ac:dyDescent="0.25">
      <c r="B111" s="274"/>
      <c r="C111" s="73">
        <v>2015</v>
      </c>
      <c r="D111" s="74">
        <v>100</v>
      </c>
      <c r="F111" s="287"/>
      <c r="G111" s="287"/>
      <c r="H111" s="129"/>
      <c r="I111" s="129"/>
      <c r="J111" s="128"/>
      <c r="K111" s="128"/>
    </row>
    <row r="112" spans="2:11" x14ac:dyDescent="0.25">
      <c r="B112" s="274"/>
      <c r="C112" s="73">
        <v>2016</v>
      </c>
      <c r="D112" s="74">
        <v>100.11</v>
      </c>
      <c r="F112" s="287"/>
      <c r="G112" s="287"/>
      <c r="H112" s="129"/>
      <c r="I112" s="129"/>
      <c r="J112" s="128"/>
      <c r="K112" s="128"/>
    </row>
    <row r="113" spans="2:11" x14ac:dyDescent="0.25">
      <c r="B113" s="274"/>
      <c r="C113" s="73">
        <v>2017</v>
      </c>
      <c r="D113" s="74">
        <v>101.4</v>
      </c>
      <c r="F113" s="287"/>
      <c r="G113" s="287"/>
      <c r="H113" s="129"/>
      <c r="I113" s="129"/>
      <c r="J113" s="128"/>
      <c r="K113" s="128"/>
    </row>
    <row r="114" spans="2:11" x14ac:dyDescent="0.25">
      <c r="B114" s="274"/>
      <c r="C114" s="130" t="s">
        <v>169</v>
      </c>
      <c r="D114" s="74">
        <v>104.37</v>
      </c>
      <c r="F114" s="287"/>
      <c r="G114" s="287"/>
      <c r="H114" s="129"/>
      <c r="I114" s="8"/>
    </row>
    <row r="115" spans="2:11" x14ac:dyDescent="0.25">
      <c r="B115" s="274"/>
      <c r="C115" s="285" t="s">
        <v>170</v>
      </c>
      <c r="D115" s="286"/>
      <c r="F115" s="197"/>
      <c r="G115" s="197"/>
      <c r="H115" s="129"/>
      <c r="I115" s="8"/>
    </row>
    <row r="116" spans="2:11" x14ac:dyDescent="0.25">
      <c r="B116" s="275"/>
      <c r="C116" s="76" t="s">
        <v>171</v>
      </c>
      <c r="D116" s="34"/>
      <c r="F116" s="8"/>
      <c r="G116" s="8"/>
      <c r="H116" s="8"/>
      <c r="I116" s="8"/>
    </row>
    <row r="117" spans="2:11" x14ac:dyDescent="0.25">
      <c r="F117" s="8"/>
      <c r="G117" s="8"/>
      <c r="H117" s="8"/>
      <c r="I117" s="8"/>
    </row>
    <row r="120" spans="2:11" x14ac:dyDescent="0.25">
      <c r="C120" s="58"/>
      <c r="D120" s="58"/>
    </row>
    <row r="121" spans="2:11" x14ac:dyDescent="0.25">
      <c r="D121" s="58"/>
    </row>
    <row r="122" spans="2:11" x14ac:dyDescent="0.25">
      <c r="D122" s="58"/>
    </row>
    <row r="123" spans="2:11" x14ac:dyDescent="0.25">
      <c r="D123" s="58"/>
    </row>
    <row r="124" spans="2:11" x14ac:dyDescent="0.25">
      <c r="D124" s="58"/>
    </row>
    <row r="125" spans="2:11" x14ac:dyDescent="0.25">
      <c r="D125" s="58"/>
    </row>
    <row r="126" spans="2:11" x14ac:dyDescent="0.25">
      <c r="D126" s="58"/>
    </row>
    <row r="127" spans="2:11" x14ac:dyDescent="0.25">
      <c r="D127" s="58"/>
    </row>
    <row r="128" spans="2:11" x14ac:dyDescent="0.25">
      <c r="D128" s="58"/>
    </row>
    <row r="129" spans="1:4" x14ac:dyDescent="0.25">
      <c r="D129" s="58"/>
    </row>
    <row r="130" spans="1:4" x14ac:dyDescent="0.25">
      <c r="D130" s="58"/>
    </row>
    <row r="131" spans="1:4" x14ac:dyDescent="0.25">
      <c r="A131" s="58"/>
      <c r="B131" s="58"/>
      <c r="C131" s="58"/>
      <c r="D131" s="58"/>
    </row>
    <row r="132" spans="1:4" x14ac:dyDescent="0.25">
      <c r="C132" s="58"/>
      <c r="D132" s="58"/>
    </row>
    <row r="133" spans="1:4" x14ac:dyDescent="0.25">
      <c r="C133" s="58"/>
      <c r="D133" s="58"/>
    </row>
    <row r="134" spans="1:4" x14ac:dyDescent="0.25">
      <c r="C134" s="58"/>
      <c r="D134" s="58"/>
    </row>
    <row r="135" spans="1:4" x14ac:dyDescent="0.25">
      <c r="C135" s="58"/>
      <c r="D135" s="58"/>
    </row>
    <row r="136" spans="1:4" x14ac:dyDescent="0.25">
      <c r="C136" s="58"/>
      <c r="D136" s="58"/>
    </row>
    <row r="137" spans="1:4" ht="18" customHeight="1" x14ac:dyDescent="0.25">
      <c r="C137" s="58"/>
      <c r="D137" s="58"/>
    </row>
    <row r="138" spans="1:4" ht="18" customHeight="1" x14ac:dyDescent="0.25">
      <c r="C138" s="58"/>
      <c r="D138" s="58"/>
    </row>
    <row r="139" spans="1:4" ht="18" customHeight="1" x14ac:dyDescent="0.25">
      <c r="C139" s="58"/>
      <c r="D139" s="58"/>
    </row>
    <row r="140" spans="1:4" x14ac:dyDescent="0.25">
      <c r="C140" s="58"/>
      <c r="D140" s="58"/>
    </row>
    <row r="141" spans="1:4" x14ac:dyDescent="0.25">
      <c r="C141" s="58"/>
      <c r="D141" s="58"/>
    </row>
    <row r="142" spans="1:4" x14ac:dyDescent="0.25">
      <c r="C142" s="58"/>
      <c r="D142" s="58"/>
    </row>
    <row r="143" spans="1:4" x14ac:dyDescent="0.25">
      <c r="A143" s="58"/>
      <c r="C143" s="58"/>
      <c r="D143" s="58"/>
    </row>
    <row r="144" spans="1:4" x14ac:dyDescent="0.25">
      <c r="A144" s="58"/>
      <c r="C144" s="58"/>
      <c r="D144" s="58"/>
    </row>
    <row r="145" spans="1:4" x14ac:dyDescent="0.25">
      <c r="A145" s="58"/>
      <c r="C145" s="58"/>
      <c r="D145" s="58"/>
    </row>
    <row r="146" spans="1:4" x14ac:dyDescent="0.25">
      <c r="A146" s="58"/>
      <c r="C146" s="58"/>
      <c r="D146" s="58"/>
    </row>
    <row r="147" spans="1:4" x14ac:dyDescent="0.25">
      <c r="A147" s="58"/>
      <c r="B147" s="58"/>
      <c r="C147" s="58"/>
      <c r="D147" s="58"/>
    </row>
    <row r="148" spans="1:4" x14ac:dyDescent="0.25">
      <c r="A148" s="58"/>
      <c r="B148" s="58"/>
      <c r="C148" s="58"/>
      <c r="D148" s="58"/>
    </row>
    <row r="149" spans="1:4" x14ac:dyDescent="0.25">
      <c r="A149" s="58"/>
      <c r="B149" s="58"/>
      <c r="C149" s="58"/>
      <c r="D149" s="58"/>
    </row>
    <row r="150" spans="1:4" x14ac:dyDescent="0.25">
      <c r="A150" s="58"/>
      <c r="B150" s="58"/>
      <c r="C150" s="58"/>
      <c r="D150" s="58"/>
    </row>
    <row r="151" spans="1:4" x14ac:dyDescent="0.25">
      <c r="A151" s="58"/>
      <c r="B151" s="58"/>
      <c r="C151" s="58"/>
      <c r="D151" s="58"/>
    </row>
  </sheetData>
  <mergeCells count="43">
    <mergeCell ref="C115:D115"/>
    <mergeCell ref="F110:G110"/>
    <mergeCell ref="F111:G111"/>
    <mergeCell ref="F112:G112"/>
    <mergeCell ref="F113:G113"/>
    <mergeCell ref="F114:G114"/>
    <mergeCell ref="F105:G105"/>
    <mergeCell ref="F106:G106"/>
    <mergeCell ref="F107:G107"/>
    <mergeCell ref="F108:G108"/>
    <mergeCell ref="F109:G109"/>
    <mergeCell ref="F100:G100"/>
    <mergeCell ref="F101:G101"/>
    <mergeCell ref="F102:G102"/>
    <mergeCell ref="F103:G103"/>
    <mergeCell ref="F104:G104"/>
    <mergeCell ref="B92:B98"/>
    <mergeCell ref="B101:B116"/>
    <mergeCell ref="B75:F75"/>
    <mergeCell ref="B91:D91"/>
    <mergeCell ref="E17:F17"/>
    <mergeCell ref="B35:F35"/>
    <mergeCell ref="B53:F53"/>
    <mergeCell ref="B63:F63"/>
    <mergeCell ref="B67:F67"/>
    <mergeCell ref="B18:B19"/>
    <mergeCell ref="C17:D17"/>
    <mergeCell ref="B23:B34"/>
    <mergeCell ref="B36:B37"/>
    <mergeCell ref="B38:B39"/>
    <mergeCell ref="B79:D79"/>
    <mergeCell ref="B43:B44"/>
    <mergeCell ref="B48:B49"/>
    <mergeCell ref="D56:D57"/>
    <mergeCell ref="C76:F76"/>
    <mergeCell ref="C77:F77"/>
    <mergeCell ref="B70:B71"/>
    <mergeCell ref="B64:B66"/>
    <mergeCell ref="B55:B56"/>
    <mergeCell ref="B58:B60"/>
    <mergeCell ref="B69:F69"/>
    <mergeCell ref="B72:F72"/>
    <mergeCell ref="D58:D59"/>
  </mergeCells>
  <hyperlinks>
    <hyperlink ref="D100" r:id="rId1" xr:uid="{0E8AA294-E174-41CC-9FC6-3843EBAB9DBB}"/>
  </hyperlinks>
  <pageMargins left="0.7" right="0.7" top="0.75" bottom="0.75" header="0.3" footer="0.3"/>
  <pageSetup paperSize="9" scale="47" orientation="portrait" r:id="rId2"/>
  <colBreaks count="1" manualBreakCount="1">
    <brk id="4" max="92"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5C985-9A0B-43D3-B551-F61B3622FF34}">
  <sheetPr>
    <tabColor theme="7" tint="0.59999389629810485"/>
    <pageSetUpPr fitToPage="1"/>
  </sheetPr>
  <dimension ref="A1:BA103"/>
  <sheetViews>
    <sheetView topLeftCell="A12" zoomScale="120" zoomScaleNormal="120" workbookViewId="0">
      <selection activeCell="D4" sqref="F4"/>
    </sheetView>
  </sheetViews>
  <sheetFormatPr defaultColWidth="11" defaultRowHeight="15" x14ac:dyDescent="0.25"/>
  <cols>
    <col min="1" max="1" width="4.5" style="78" customWidth="1"/>
    <col min="2" max="2" width="11" style="78"/>
    <col min="3" max="3" width="27.625" style="78" customWidth="1"/>
    <col min="4" max="5" width="16.75" style="78" customWidth="1"/>
    <col min="6" max="21" width="12.5" style="78" customWidth="1"/>
    <col min="22" max="51" width="11" style="78"/>
    <col min="52" max="52" width="101.375" style="112" hidden="1" customWidth="1"/>
    <col min="53" max="53" width="182" style="112" hidden="1" customWidth="1"/>
    <col min="54" max="16384" width="11" style="78"/>
  </cols>
  <sheetData>
    <row r="1" spans="1:52" ht="21" x14ac:dyDescent="0.35">
      <c r="A1" s="4" t="s">
        <v>172</v>
      </c>
      <c r="B1" s="205"/>
      <c r="C1" s="205"/>
      <c r="D1" s="104"/>
      <c r="E1" s="205"/>
      <c r="F1" s="205"/>
      <c r="G1" s="205"/>
      <c r="H1" s="205"/>
      <c r="I1" s="205"/>
      <c r="J1" s="205"/>
      <c r="K1" s="205"/>
      <c r="L1" s="205"/>
      <c r="M1" s="205"/>
      <c r="N1" s="205"/>
      <c r="O1" s="205"/>
      <c r="P1" s="205"/>
      <c r="Q1" s="205"/>
      <c r="R1" s="205"/>
      <c r="S1" s="205"/>
      <c r="T1" s="205"/>
      <c r="U1" s="205"/>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row>
    <row r="2" spans="1:52" x14ac:dyDescent="0.25">
      <c r="A2" s="104" t="s">
        <v>173</v>
      </c>
      <c r="B2" s="205"/>
      <c r="C2" s="205"/>
      <c r="D2" s="104"/>
      <c r="E2" s="205"/>
      <c r="F2" s="205"/>
      <c r="G2" s="205"/>
      <c r="H2" s="205"/>
      <c r="I2" s="205"/>
      <c r="J2" s="205"/>
      <c r="K2" s="205"/>
      <c r="L2" s="205"/>
      <c r="M2" s="205"/>
      <c r="N2" s="205"/>
      <c r="O2" s="205"/>
      <c r="P2" s="205"/>
      <c r="Q2" s="205"/>
      <c r="R2" s="205"/>
      <c r="S2" s="205"/>
      <c r="T2" s="205"/>
      <c r="U2" s="205"/>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row>
    <row r="3" spans="1:52" x14ac:dyDescent="0.25">
      <c r="A3" s="205"/>
      <c r="B3" s="205"/>
      <c r="C3" s="205"/>
      <c r="D3" s="205"/>
      <c r="E3" s="205"/>
      <c r="F3" s="205"/>
      <c r="G3" s="205"/>
      <c r="H3" s="205"/>
      <c r="I3" s="205"/>
      <c r="J3" s="205"/>
      <c r="K3" s="205"/>
      <c r="L3" s="205"/>
      <c r="M3" s="205"/>
      <c r="N3" s="205"/>
      <c r="O3" s="205"/>
      <c r="P3" s="205"/>
      <c r="Q3" s="205"/>
      <c r="R3" s="205"/>
      <c r="S3" s="205"/>
      <c r="T3" s="205"/>
      <c r="U3" s="205"/>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row>
    <row r="4" spans="1:52" ht="21" customHeight="1" x14ac:dyDescent="0.25">
      <c r="A4" s="205"/>
      <c r="B4" s="288" t="s">
        <v>174</v>
      </c>
      <c r="C4" s="289"/>
      <c r="D4" s="289"/>
      <c r="E4" s="289"/>
      <c r="F4" s="289"/>
      <c r="G4" s="289"/>
      <c r="H4" s="289"/>
      <c r="I4" s="289"/>
      <c r="J4" s="289"/>
      <c r="K4" s="290"/>
      <c r="L4" s="80"/>
      <c r="M4" s="80"/>
      <c r="N4" s="80"/>
      <c r="O4" s="80"/>
      <c r="P4" s="205"/>
      <c r="Q4" s="205"/>
      <c r="R4" s="205"/>
      <c r="S4" s="205"/>
      <c r="T4" s="205"/>
      <c r="U4" s="205"/>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row>
    <row r="5" spans="1:52" ht="15.75" customHeight="1" x14ac:dyDescent="0.25">
      <c r="A5" s="205"/>
      <c r="B5" s="291" t="s">
        <v>175</v>
      </c>
      <c r="C5" s="291"/>
      <c r="D5" s="292" t="s">
        <v>176</v>
      </c>
      <c r="E5" s="293"/>
      <c r="F5" s="293"/>
      <c r="G5" s="293"/>
      <c r="H5" s="293"/>
      <c r="I5" s="293"/>
      <c r="J5" s="293"/>
      <c r="K5" s="294"/>
      <c r="L5" s="207"/>
      <c r="M5" s="207"/>
      <c r="N5" s="207"/>
      <c r="O5" s="207"/>
      <c r="P5" s="205"/>
      <c r="Q5" s="205"/>
      <c r="R5" s="205"/>
      <c r="S5" s="205"/>
      <c r="T5" s="205"/>
      <c r="U5" s="205"/>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row>
    <row r="6" spans="1:52" ht="15.75" customHeight="1" x14ac:dyDescent="0.25">
      <c r="A6" s="205"/>
      <c r="B6" s="291" t="s">
        <v>177</v>
      </c>
      <c r="C6" s="291"/>
      <c r="D6" s="295">
        <v>43657</v>
      </c>
      <c r="E6" s="296"/>
      <c r="F6" s="296"/>
      <c r="G6" s="296"/>
      <c r="H6" s="296"/>
      <c r="I6" s="296"/>
      <c r="J6" s="296"/>
      <c r="K6" s="297"/>
      <c r="L6" s="207"/>
      <c r="M6" s="207"/>
      <c r="N6" s="207"/>
      <c r="O6" s="207"/>
      <c r="P6" s="205"/>
      <c r="Q6" s="205"/>
      <c r="R6" s="205"/>
      <c r="S6" s="205"/>
      <c r="T6" s="205"/>
      <c r="U6" s="205"/>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row>
    <row r="7" spans="1:52" x14ac:dyDescent="0.25">
      <c r="A7" s="205"/>
      <c r="B7" s="298" t="s">
        <v>18</v>
      </c>
      <c r="C7" s="299"/>
      <c r="D7" s="302" t="s">
        <v>178</v>
      </c>
      <c r="E7" s="303"/>
      <c r="F7" s="303"/>
      <c r="G7" s="303"/>
      <c r="H7" s="303"/>
      <c r="I7" s="303"/>
      <c r="J7" s="303"/>
      <c r="K7" s="304"/>
      <c r="L7" s="208"/>
      <c r="M7" s="208"/>
      <c r="N7" s="208"/>
      <c r="O7" s="208"/>
      <c r="P7" s="205"/>
      <c r="Q7" s="205"/>
      <c r="R7" s="205"/>
      <c r="S7" s="205"/>
      <c r="T7" s="205"/>
      <c r="U7" s="205"/>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row>
    <row r="8" spans="1:52" ht="15.75" customHeight="1" x14ac:dyDescent="0.25">
      <c r="A8" s="205"/>
      <c r="B8" s="300"/>
      <c r="C8" s="301"/>
      <c r="D8" s="302" t="s">
        <v>179</v>
      </c>
      <c r="E8" s="303"/>
      <c r="F8" s="303"/>
      <c r="G8" s="303"/>
      <c r="H8" s="303"/>
      <c r="I8" s="303"/>
      <c r="J8" s="303"/>
      <c r="K8" s="304"/>
      <c r="L8" s="208"/>
      <c r="M8" s="208"/>
      <c r="N8" s="208"/>
      <c r="O8" s="208"/>
      <c r="P8" s="205"/>
      <c r="Q8" s="205"/>
      <c r="R8" s="205"/>
      <c r="S8" s="205"/>
      <c r="T8" s="205"/>
      <c r="U8" s="205"/>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row>
    <row r="9" spans="1:52" ht="15.75" customHeight="1" x14ac:dyDescent="0.25">
      <c r="A9" s="205"/>
      <c r="B9" s="317" t="s">
        <v>22</v>
      </c>
      <c r="C9" s="317"/>
      <c r="D9" s="318" t="s">
        <v>180</v>
      </c>
      <c r="E9" s="319"/>
      <c r="F9" s="319"/>
      <c r="G9" s="319"/>
      <c r="H9" s="319"/>
      <c r="I9" s="319"/>
      <c r="J9" s="319"/>
      <c r="K9" s="320"/>
      <c r="L9" s="79"/>
      <c r="M9" s="79"/>
      <c r="N9" s="79"/>
      <c r="O9" s="79"/>
      <c r="P9" s="205"/>
      <c r="Q9" s="205"/>
      <c r="R9" s="205"/>
      <c r="S9" s="205"/>
      <c r="T9" s="205"/>
      <c r="U9" s="205"/>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row>
    <row r="10" spans="1:52" ht="15.75" customHeight="1" x14ac:dyDescent="0.25">
      <c r="A10" s="205"/>
      <c r="B10" s="317" t="s">
        <v>24</v>
      </c>
      <c r="C10" s="317"/>
      <c r="D10" s="318" t="s">
        <v>181</v>
      </c>
      <c r="E10" s="319"/>
      <c r="F10" s="319"/>
      <c r="G10" s="319"/>
      <c r="H10" s="319"/>
      <c r="I10" s="319"/>
      <c r="J10" s="319"/>
      <c r="K10" s="320"/>
      <c r="L10" s="207"/>
      <c r="M10" s="207"/>
      <c r="N10" s="207"/>
      <c r="O10" s="207"/>
      <c r="P10" s="205"/>
      <c r="Q10" s="205"/>
      <c r="R10" s="205"/>
      <c r="S10" s="205"/>
      <c r="T10" s="205"/>
      <c r="U10" s="205"/>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row>
    <row r="11" spans="1:52" ht="409.5" x14ac:dyDescent="0.25">
      <c r="A11" s="205"/>
      <c r="B11" s="321" t="s">
        <v>27</v>
      </c>
      <c r="C11" s="321"/>
      <c r="D11" s="322" t="s">
        <v>182</v>
      </c>
      <c r="E11" s="323"/>
      <c r="F11" s="323"/>
      <c r="G11" s="323"/>
      <c r="H11" s="323"/>
      <c r="I11" s="323"/>
      <c r="J11" s="323"/>
      <c r="K11" s="324"/>
      <c r="L11" s="208"/>
      <c r="M11" s="208"/>
      <c r="N11" s="208"/>
      <c r="O11" s="208"/>
      <c r="P11" s="205"/>
      <c r="Q11" s="205"/>
      <c r="R11" s="205"/>
      <c r="S11" s="205"/>
      <c r="T11" s="205"/>
      <c r="U11" s="205"/>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113" t="str">
        <f>D11</f>
        <v>Solar photovoltaic (PV) systems convert solar irradiation into electricity. Various types of solar conversion technology types are currently on the market, each differing in terms of costs and efficiency. Examples of such variants comprise crystalline and multi-crystalline silicon PV (mainstream technology), as well as thin film PV (less common technology). This factsheet for solar PV focuses on mainstream technology. 
The solar modules generate direct current (DC). The DC might be used for off-grid applications, combined with an electricity storage system (a battery), however these systems will not be addressed in this factsheet: off-grid systems are considered niche markets where different pricing mechanisms occur. The major contribution for the Netherlands is expected to be in grid-connected systems. In these, DC from the modules is converted to alternating current (AC) by an inverter. 
A PV mounting structure allows to fix the panels in the right position: usually a fixed tilt angle and a fixed orientation, although sun-tracking systems are also possible (but in the Netherlands currently more expensive in terms of electricity generation costs). There are three main spatial layouts: firstly a south-facing system, tilted at 30 to 40 degrees, for high energy generation during the year, characterised by high power peaks (at noon) during summer. Secondly, systems may be oriented towards both east and west at a smaller tilt. Advantages of these systems are that more peak capacity can be installed on the available surface (higher kWp/m2) and that the power peak during summer is smaller, with a more balanced power generation during the day as a result. For the Netherlands, these two layout variants are the most common, and both can be realised on rooftops and in field installations. Solar tracked systems comprise a third system type, which maximise electrity generation by actively adjusting the inclination angle and orientation. This type of system may be applied in solar fields, at a higher investment cost and more operational expenses, plus more land use due to the wider spatial requirements. 
Other variants of solar PV applications exist as well, such as floating PV or facade PV, integrated in buildings. These types generally are more expensive, although cost reductions are certainly to be expected. The photovoltaic module is an important component determining the total system cost, but as module costs have been decreasing rapidly over time its relative importance in system costs is reducing, and other components are getting more weight. Examples of other components are inverter costs, construction material and installation labour. This latter component is an important factor, which can be reduced by increasing the project scale and by moving from rooftop to ground based installations. 
To estimate PV potentials, multiple methods exist, from bottom-up to top-down approaches. Bottom line however is that a large potential is existing, and possibly that system balancing constraints are more limiting than physical space. 
In the technology factsheets, five solar PV system types will be addressed: household rooftop systems (typically 2-10 kWp, on sloped roofs or on flat roofs), large rooftop systems (reference size 250 kWp, generally flat roofs), multi-MW rooftop systems (reference size 5 MWp, flat roofs) and multi-MW solar PV fields (reference size 10 MWp, ground-based). Also, floating PV is addressed indicatively. Note that for all layouts two orientations are defined: South and East/West. The difference lies in the respective value of the full-load hours and expenses for surface rents.
In this factsheet, data is presented for a typical 5 MWp system (approximately 19,000 modules), on a South-facing rooftop with a fixed tilt, inclined.</v>
      </c>
    </row>
    <row r="12" spans="1:52" ht="15.75" customHeight="1" x14ac:dyDescent="0.25">
      <c r="A12" s="205"/>
      <c r="B12" s="305" t="s">
        <v>183</v>
      </c>
      <c r="C12" s="305"/>
      <c r="D12" s="306" t="s">
        <v>34</v>
      </c>
      <c r="E12" s="296"/>
      <c r="F12" s="296"/>
      <c r="G12" s="296"/>
      <c r="H12" s="296"/>
      <c r="I12" s="296"/>
      <c r="J12" s="296"/>
      <c r="K12" s="297"/>
      <c r="L12" s="207"/>
      <c r="M12" s="207"/>
      <c r="N12" s="207"/>
      <c r="O12" s="207"/>
      <c r="P12" s="205"/>
      <c r="Q12" s="205"/>
      <c r="R12" s="205"/>
      <c r="S12" s="205"/>
      <c r="T12" s="205"/>
      <c r="U12" s="205"/>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row>
    <row r="13" spans="1:52" ht="49.5" customHeight="1" x14ac:dyDescent="0.25">
      <c r="A13" s="205"/>
      <c r="B13" s="305"/>
      <c r="C13" s="305"/>
      <c r="D13" s="307" t="s">
        <v>184</v>
      </c>
      <c r="E13" s="308"/>
      <c r="F13" s="308"/>
      <c r="G13" s="308"/>
      <c r="H13" s="308"/>
      <c r="I13" s="308"/>
      <c r="J13" s="308"/>
      <c r="K13" s="309"/>
      <c r="L13" s="208"/>
      <c r="M13" s="208"/>
      <c r="N13" s="208"/>
      <c r="O13" s="208"/>
      <c r="P13" s="205"/>
      <c r="Q13" s="205"/>
      <c r="R13" s="205"/>
      <c r="S13" s="205"/>
      <c r="T13" s="205"/>
      <c r="U13" s="205"/>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113" t="str">
        <f>D13</f>
        <v>Many systems are operational worldwide. See CBS (2018) for the Dutch realisations.</v>
      </c>
    </row>
    <row r="14" spans="1:52" ht="21" customHeight="1" x14ac:dyDescent="0.25">
      <c r="A14" s="205"/>
      <c r="B14" s="288" t="s">
        <v>52</v>
      </c>
      <c r="C14" s="289"/>
      <c r="D14" s="289"/>
      <c r="E14" s="289"/>
      <c r="F14" s="289"/>
      <c r="G14" s="289"/>
      <c r="H14" s="289"/>
      <c r="I14" s="289"/>
      <c r="J14" s="289"/>
      <c r="K14" s="290"/>
      <c r="L14" s="80"/>
      <c r="M14" s="80"/>
      <c r="N14" s="80"/>
      <c r="O14" s="80"/>
      <c r="P14" s="205"/>
      <c r="Q14" s="205"/>
      <c r="R14" s="205"/>
      <c r="S14" s="205"/>
      <c r="T14" s="205"/>
      <c r="U14" s="205"/>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row>
    <row r="15" spans="1:52" ht="15" customHeight="1" x14ac:dyDescent="0.25">
      <c r="A15" s="205"/>
      <c r="B15" s="310" t="s">
        <v>53</v>
      </c>
      <c r="C15" s="310"/>
      <c r="D15" s="311" t="s">
        <v>185</v>
      </c>
      <c r="E15" s="312"/>
      <c r="F15" s="312"/>
      <c r="G15" s="312"/>
      <c r="H15" s="312"/>
      <c r="I15" s="312"/>
      <c r="J15" s="312"/>
      <c r="K15" s="313"/>
      <c r="L15" s="80"/>
      <c r="M15" s="80"/>
      <c r="N15" s="80"/>
      <c r="O15" s="80"/>
      <c r="P15" s="205"/>
      <c r="Q15" s="205"/>
      <c r="R15" s="205"/>
      <c r="S15" s="205"/>
      <c r="T15" s="205"/>
      <c r="U15" s="205"/>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row>
    <row r="16" spans="1:52" ht="15" customHeight="1" x14ac:dyDescent="0.25">
      <c r="A16" s="205"/>
      <c r="B16" s="310"/>
      <c r="C16" s="310"/>
      <c r="D16" s="314"/>
      <c r="E16" s="315"/>
      <c r="F16" s="315"/>
      <c r="G16" s="315"/>
      <c r="H16" s="315"/>
      <c r="I16" s="315"/>
      <c r="J16" s="315"/>
      <c r="K16" s="316"/>
      <c r="L16" s="80"/>
      <c r="M16" s="80"/>
      <c r="N16" s="80"/>
      <c r="O16" s="80"/>
      <c r="P16" s="205"/>
      <c r="Q16" s="205"/>
      <c r="R16" s="205"/>
      <c r="S16" s="205"/>
      <c r="T16" s="205"/>
      <c r="U16" s="205"/>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row>
    <row r="17" spans="1:21" x14ac:dyDescent="0.25">
      <c r="A17" s="205"/>
      <c r="B17" s="339"/>
      <c r="C17" s="339"/>
      <c r="D17" s="340" t="s">
        <v>186</v>
      </c>
      <c r="E17" s="340"/>
      <c r="F17" s="340"/>
      <c r="G17" s="203" t="s">
        <v>187</v>
      </c>
      <c r="H17" s="203" t="s">
        <v>188</v>
      </c>
      <c r="I17" s="203" t="s">
        <v>189</v>
      </c>
      <c r="J17" s="203" t="s">
        <v>190</v>
      </c>
      <c r="K17" s="203" t="s">
        <v>191</v>
      </c>
      <c r="L17" s="81"/>
      <c r="M17" s="81"/>
      <c r="N17" s="81"/>
      <c r="O17" s="81"/>
      <c r="P17" s="205"/>
      <c r="Q17" s="205"/>
      <c r="R17" s="205"/>
      <c r="S17" s="205"/>
      <c r="T17" s="205"/>
      <c r="U17" s="205"/>
    </row>
    <row r="18" spans="1:21" ht="15.75" customHeight="1" x14ac:dyDescent="0.25">
      <c r="A18" s="205"/>
      <c r="B18" s="310" t="s">
        <v>57</v>
      </c>
      <c r="C18" s="310"/>
      <c r="D18" s="341" t="str">
        <f>IF(D15="Please select","Select Functional Unit above",D15)</f>
        <v>MW</v>
      </c>
      <c r="E18" s="341"/>
      <c r="F18" s="341"/>
      <c r="G18" s="177">
        <v>5000</v>
      </c>
      <c r="H18" s="181">
        <v>5000</v>
      </c>
      <c r="I18" s="97"/>
      <c r="J18" s="97"/>
      <c r="K18" s="97"/>
      <c r="L18" s="82"/>
      <c r="M18" s="82"/>
      <c r="N18" s="82"/>
      <c r="O18" s="82"/>
      <c r="P18" s="205"/>
      <c r="Q18" s="205"/>
      <c r="R18" s="205"/>
      <c r="S18" s="205"/>
      <c r="T18" s="205"/>
      <c r="U18" s="205"/>
    </row>
    <row r="19" spans="1:21" ht="15.75" customHeight="1" x14ac:dyDescent="0.25">
      <c r="A19" s="205"/>
      <c r="B19" s="310"/>
      <c r="C19" s="310"/>
      <c r="D19" s="341"/>
      <c r="E19" s="341"/>
      <c r="F19" s="341"/>
      <c r="G19" s="108" t="str">
        <f>H19</f>
        <v>PBL 2019</v>
      </c>
      <c r="H19" s="108" t="s">
        <v>192</v>
      </c>
      <c r="I19" s="108" t="s">
        <v>193</v>
      </c>
      <c r="J19" s="108" t="s">
        <v>193</v>
      </c>
      <c r="K19" s="108" t="s">
        <v>193</v>
      </c>
      <c r="L19" s="82"/>
      <c r="M19" s="82"/>
      <c r="N19" s="82"/>
      <c r="O19" s="82"/>
      <c r="P19" s="205"/>
      <c r="Q19" s="205"/>
      <c r="R19" s="205"/>
      <c r="S19" s="205"/>
      <c r="T19" s="205"/>
      <c r="U19" s="205"/>
    </row>
    <row r="20" spans="1:21" ht="15.75" customHeight="1" x14ac:dyDescent="0.25">
      <c r="A20" s="205"/>
      <c r="B20" s="339"/>
      <c r="C20" s="339"/>
      <c r="D20" s="342" t="s">
        <v>194</v>
      </c>
      <c r="E20" s="343"/>
      <c r="F20" s="204" t="s">
        <v>195</v>
      </c>
      <c r="G20" s="325" t="s">
        <v>196</v>
      </c>
      <c r="H20" s="325"/>
      <c r="I20" s="325"/>
      <c r="J20" s="325"/>
      <c r="K20" s="325"/>
      <c r="L20" s="350">
        <v>2030</v>
      </c>
      <c r="M20" s="350"/>
      <c r="N20" s="350"/>
      <c r="O20" s="350"/>
      <c r="P20" s="350"/>
      <c r="Q20" s="325">
        <v>2050</v>
      </c>
      <c r="R20" s="325"/>
      <c r="S20" s="325"/>
      <c r="T20" s="325"/>
      <c r="U20" s="325"/>
    </row>
    <row r="21" spans="1:21" ht="15.75" customHeight="1" x14ac:dyDescent="0.25">
      <c r="A21" s="205"/>
      <c r="B21" s="326" t="s">
        <v>62</v>
      </c>
      <c r="C21" s="327"/>
      <c r="D21" s="332" t="s">
        <v>197</v>
      </c>
      <c r="E21" s="333"/>
      <c r="F21" s="336" t="s">
        <v>185</v>
      </c>
      <c r="G21" s="203" t="s">
        <v>187</v>
      </c>
      <c r="H21" s="203" t="s">
        <v>188</v>
      </c>
      <c r="I21" s="203" t="s">
        <v>189</v>
      </c>
      <c r="J21" s="203" t="s">
        <v>190</v>
      </c>
      <c r="K21" s="203" t="s">
        <v>191</v>
      </c>
      <c r="L21" s="202" t="s">
        <v>187</v>
      </c>
      <c r="M21" s="202" t="s">
        <v>188</v>
      </c>
      <c r="N21" s="202" t="s">
        <v>189</v>
      </c>
      <c r="O21" s="202" t="s">
        <v>190</v>
      </c>
      <c r="P21" s="202" t="s">
        <v>191</v>
      </c>
      <c r="Q21" s="203" t="s">
        <v>187</v>
      </c>
      <c r="R21" s="203" t="s">
        <v>188</v>
      </c>
      <c r="S21" s="203" t="s">
        <v>189</v>
      </c>
      <c r="T21" s="203" t="s">
        <v>190</v>
      </c>
      <c r="U21" s="203" t="s">
        <v>191</v>
      </c>
    </row>
    <row r="22" spans="1:21" ht="15" customHeight="1" x14ac:dyDescent="0.25">
      <c r="A22" s="205"/>
      <c r="B22" s="328"/>
      <c r="C22" s="329"/>
      <c r="D22" s="334"/>
      <c r="E22" s="335"/>
      <c r="F22" s="337"/>
      <c r="G22" s="177">
        <f>1000*Calculations!K235</f>
        <v>1000</v>
      </c>
      <c r="H22" s="97"/>
      <c r="I22" s="97"/>
      <c r="J22" s="97"/>
      <c r="K22" s="97"/>
      <c r="L22" s="178">
        <f>1000*Calculations!L235</f>
        <v>3000</v>
      </c>
      <c r="M22" s="107"/>
      <c r="N22" s="107"/>
      <c r="O22" s="107"/>
      <c r="P22" s="107"/>
      <c r="Q22" s="178">
        <f>1000*Calculations!M235</f>
        <v>10000</v>
      </c>
      <c r="R22" s="107"/>
      <c r="S22" s="107"/>
      <c r="T22" s="107"/>
      <c r="U22" s="107"/>
    </row>
    <row r="23" spans="1:21" x14ac:dyDescent="0.25">
      <c r="A23" s="205"/>
      <c r="B23" s="330"/>
      <c r="C23" s="331"/>
      <c r="D23" s="334"/>
      <c r="E23" s="335"/>
      <c r="F23" s="338"/>
      <c r="G23" s="154" t="s">
        <v>198</v>
      </c>
      <c r="H23" s="108"/>
      <c r="I23" s="108" t="s">
        <v>193</v>
      </c>
      <c r="J23" s="108" t="s">
        <v>193</v>
      </c>
      <c r="K23" s="108" t="s">
        <v>193</v>
      </c>
      <c r="L23" s="154" t="s">
        <v>198</v>
      </c>
      <c r="M23" s="108"/>
      <c r="N23" s="108" t="s">
        <v>193</v>
      </c>
      <c r="O23" s="108" t="s">
        <v>193</v>
      </c>
      <c r="P23" s="108" t="s">
        <v>193</v>
      </c>
      <c r="Q23" s="154" t="s">
        <v>198</v>
      </c>
      <c r="R23" s="108"/>
      <c r="S23" s="108" t="s">
        <v>193</v>
      </c>
      <c r="T23" s="108" t="s">
        <v>193</v>
      </c>
      <c r="U23" s="108" t="s">
        <v>193</v>
      </c>
    </row>
    <row r="24" spans="1:21" ht="15.75" customHeight="1" x14ac:dyDescent="0.25">
      <c r="A24" s="205"/>
      <c r="B24" s="310" t="s">
        <v>199</v>
      </c>
      <c r="C24" s="310"/>
      <c r="D24" s="311" t="s">
        <v>200</v>
      </c>
      <c r="E24" s="313"/>
      <c r="F24" s="344" t="s">
        <v>201</v>
      </c>
      <c r="G24" s="98"/>
      <c r="H24" s="97"/>
      <c r="I24" s="97"/>
      <c r="J24" s="97"/>
      <c r="K24" s="97"/>
      <c r="L24" s="96"/>
      <c r="M24" s="107"/>
      <c r="N24" s="107"/>
      <c r="O24" s="107"/>
      <c r="P24" s="107"/>
      <c r="Q24" s="96"/>
      <c r="R24" s="107"/>
      <c r="S24" s="107"/>
      <c r="T24" s="107"/>
      <c r="U24" s="107"/>
    </row>
    <row r="25" spans="1:21" ht="15.75" customHeight="1" x14ac:dyDescent="0.25">
      <c r="A25" s="205"/>
      <c r="B25" s="310"/>
      <c r="C25" s="310"/>
      <c r="D25" s="314"/>
      <c r="E25" s="316"/>
      <c r="F25" s="345"/>
      <c r="G25" s="108" t="s">
        <v>193</v>
      </c>
      <c r="H25" s="108" t="s">
        <v>193</v>
      </c>
      <c r="I25" s="108" t="s">
        <v>193</v>
      </c>
      <c r="J25" s="108" t="s">
        <v>193</v>
      </c>
      <c r="K25" s="108" t="s">
        <v>193</v>
      </c>
      <c r="L25" s="108" t="s">
        <v>193</v>
      </c>
      <c r="M25" s="108" t="s">
        <v>193</v>
      </c>
      <c r="N25" s="108" t="s">
        <v>193</v>
      </c>
      <c r="O25" s="108" t="s">
        <v>193</v>
      </c>
      <c r="P25" s="108" t="s">
        <v>193</v>
      </c>
      <c r="Q25" s="108" t="s">
        <v>193</v>
      </c>
      <c r="R25" s="108" t="s">
        <v>193</v>
      </c>
      <c r="S25" s="108" t="s">
        <v>193</v>
      </c>
      <c r="T25" s="108" t="s">
        <v>193</v>
      </c>
      <c r="U25" s="108" t="s">
        <v>193</v>
      </c>
    </row>
    <row r="26" spans="1:21" x14ac:dyDescent="0.25">
      <c r="A26" s="205"/>
      <c r="B26" s="346" t="s">
        <v>71</v>
      </c>
      <c r="C26" s="346"/>
      <c r="D26" s="347">
        <v>1</v>
      </c>
      <c r="E26" s="348"/>
      <c r="F26" s="348"/>
      <c r="G26" s="348"/>
      <c r="H26" s="348"/>
      <c r="I26" s="348"/>
      <c r="J26" s="348"/>
      <c r="K26" s="349"/>
      <c r="L26" s="84"/>
      <c r="M26" s="84"/>
      <c r="N26" s="84"/>
      <c r="O26" s="84"/>
      <c r="P26" s="205"/>
      <c r="Q26" s="205"/>
      <c r="R26" s="205"/>
      <c r="S26" s="205"/>
      <c r="T26" s="205"/>
      <c r="U26" s="205"/>
    </row>
    <row r="27" spans="1:21" x14ac:dyDescent="0.25">
      <c r="A27" s="205"/>
      <c r="B27" s="346" t="s">
        <v>74</v>
      </c>
      <c r="C27" s="346"/>
      <c r="D27" s="347">
        <v>920</v>
      </c>
      <c r="E27" s="348"/>
      <c r="F27" s="348"/>
      <c r="G27" s="348"/>
      <c r="H27" s="348"/>
      <c r="I27" s="348"/>
      <c r="J27" s="348"/>
      <c r="K27" s="349"/>
      <c r="L27" s="84"/>
      <c r="M27" s="84"/>
      <c r="N27" s="84"/>
      <c r="O27" s="84"/>
      <c r="P27" s="205"/>
      <c r="Q27" s="205"/>
      <c r="R27" s="205"/>
      <c r="S27" s="205"/>
      <c r="T27" s="205"/>
      <c r="U27" s="205"/>
    </row>
    <row r="28" spans="1:21" ht="15" customHeight="1" x14ac:dyDescent="0.25">
      <c r="A28" s="205"/>
      <c r="B28" s="346" t="s">
        <v>76</v>
      </c>
      <c r="C28" s="346"/>
      <c r="D28" s="292" t="s">
        <v>202</v>
      </c>
      <c r="E28" s="293"/>
      <c r="F28" s="293"/>
      <c r="G28" s="293"/>
      <c r="H28" s="293"/>
      <c r="I28" s="293"/>
      <c r="J28" s="293"/>
      <c r="K28" s="294"/>
      <c r="L28" s="84"/>
      <c r="M28" s="84"/>
      <c r="N28" s="84"/>
      <c r="O28" s="84"/>
      <c r="P28" s="205"/>
      <c r="Q28" s="205"/>
      <c r="R28" s="205"/>
      <c r="S28" s="205"/>
      <c r="T28" s="205"/>
      <c r="U28" s="205"/>
    </row>
    <row r="29" spans="1:21" ht="15.75" customHeight="1" x14ac:dyDescent="0.25">
      <c r="A29" s="205"/>
      <c r="B29" s="346" t="s">
        <v>79</v>
      </c>
      <c r="C29" s="346"/>
      <c r="D29" s="347" t="s">
        <v>203</v>
      </c>
      <c r="E29" s="348"/>
      <c r="F29" s="348"/>
      <c r="G29" s="348"/>
      <c r="H29" s="348"/>
      <c r="I29" s="348"/>
      <c r="J29" s="348"/>
      <c r="K29" s="349"/>
      <c r="L29" s="83"/>
      <c r="M29" s="83"/>
      <c r="N29" s="83"/>
      <c r="O29" s="83"/>
      <c r="P29" s="205"/>
      <c r="Q29" s="205"/>
      <c r="R29" s="205"/>
      <c r="S29" s="205"/>
      <c r="T29" s="205"/>
      <c r="U29" s="205"/>
    </row>
    <row r="30" spans="1:21" x14ac:dyDescent="0.25">
      <c r="A30" s="205"/>
      <c r="B30" s="346" t="s">
        <v>84</v>
      </c>
      <c r="C30" s="346"/>
      <c r="D30" s="347">
        <v>25</v>
      </c>
      <c r="E30" s="348"/>
      <c r="F30" s="348"/>
      <c r="G30" s="348"/>
      <c r="H30" s="348"/>
      <c r="I30" s="348"/>
      <c r="J30" s="348"/>
      <c r="K30" s="349"/>
      <c r="L30" s="84"/>
      <c r="M30" s="84"/>
      <c r="N30" s="84"/>
      <c r="O30" s="84"/>
      <c r="P30" s="205"/>
      <c r="Q30" s="205"/>
      <c r="R30" s="205"/>
      <c r="S30" s="205"/>
      <c r="T30" s="205"/>
      <c r="U30" s="205"/>
    </row>
    <row r="31" spans="1:21" x14ac:dyDescent="0.25">
      <c r="A31" s="205"/>
      <c r="B31" s="346" t="s">
        <v>86</v>
      </c>
      <c r="C31" s="346"/>
      <c r="D31" s="347" t="s">
        <v>203</v>
      </c>
      <c r="E31" s="348"/>
      <c r="F31" s="348"/>
      <c r="G31" s="348"/>
      <c r="H31" s="348"/>
      <c r="I31" s="348"/>
      <c r="J31" s="348"/>
      <c r="K31" s="349"/>
      <c r="L31" s="84"/>
      <c r="M31" s="84"/>
      <c r="N31" s="84"/>
      <c r="O31" s="84"/>
      <c r="P31" s="205"/>
      <c r="Q31" s="205"/>
      <c r="R31" s="205"/>
      <c r="S31" s="205"/>
      <c r="T31" s="205"/>
      <c r="U31" s="205"/>
    </row>
    <row r="32" spans="1:21" x14ac:dyDescent="0.25">
      <c r="A32" s="205"/>
      <c r="B32" s="346" t="s">
        <v>88</v>
      </c>
      <c r="C32" s="346"/>
      <c r="D32" s="292" t="s">
        <v>204</v>
      </c>
      <c r="E32" s="293"/>
      <c r="F32" s="293"/>
      <c r="G32" s="293"/>
      <c r="H32" s="293"/>
      <c r="I32" s="293"/>
      <c r="J32" s="293"/>
      <c r="K32" s="294"/>
      <c r="L32" s="84"/>
      <c r="M32" s="84"/>
      <c r="N32" s="84"/>
      <c r="O32" s="84"/>
      <c r="P32" s="205"/>
      <c r="Q32" s="205"/>
      <c r="R32" s="205"/>
      <c r="S32" s="205"/>
      <c r="T32" s="205"/>
      <c r="U32" s="205"/>
    </row>
    <row r="33" spans="1:53" ht="240" x14ac:dyDescent="0.25">
      <c r="A33" s="205"/>
      <c r="B33" s="310" t="s">
        <v>205</v>
      </c>
      <c r="C33" s="310"/>
      <c r="D33" s="322" t="s">
        <v>206</v>
      </c>
      <c r="E33" s="323"/>
      <c r="F33" s="323"/>
      <c r="G33" s="323"/>
      <c r="H33" s="323"/>
      <c r="I33" s="323"/>
      <c r="J33" s="323"/>
      <c r="K33" s="324"/>
      <c r="L33" s="208"/>
      <c r="M33" s="208"/>
      <c r="N33" s="208"/>
      <c r="O33" s="208"/>
      <c r="P33" s="205"/>
      <c r="Q33" s="205"/>
      <c r="R33" s="205"/>
      <c r="S33" s="205"/>
      <c r="T33" s="205"/>
      <c r="U33" s="205"/>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113" t="str">
        <f>D33</f>
        <v>The reference system assumed here is a 5 MWp system on a flat roof in utility buildings. 
The total PV installations for 2020 are assumed to represent around 8 GWp, based on the latest CBS figures (4,3 GWp for 2018), with a continuing growth up to 2020. Note that all potential data have been broken down into capacity range sectors, and that this potential may be filled either with South oriented systems, or with East/West oriented systems. For 2030, the assumed cumulative PV capacity potential in the Netherlands is 30 GWp, based on PBL (2019) (22 GWp on buildings) and Gasunie 2018 (8 GWp ground based potential). For the period up to 2050, the building sector may cover 66 GWp (50 TWh) of which 41 GWp in the residential sector and 25 GWp in the utility sector. Ground-based potential may amount to 34 GW (Gasunie 2018). Solar PV technology has been coming down rapidly in investment costs and electricity generation cost over the past years, and it is expected that it will continue to reduce further. 
The full-load hours are averaged over the lifetime. An annual efficiency degeneration of 0.64% makes that full-load hours for South-oriented systems decrease from 990 kWh/kWp in year 1 to 849 kWh/kWp in year 25 (rounded average: 920 kWh/kWp). For East/West-oriented systems, the reduction goes from 890 kWh/kWp in year 1 to 763 kWh/kWp in year 25 (rounded average: 820 kWh/kWp). The conversion efficiency improvement that is expected results in smaller modules for similar capacity ranges, which is one of the drivers for cost reduction.</v>
      </c>
    </row>
    <row r="34" spans="1:53" ht="21" customHeight="1" x14ac:dyDescent="0.25">
      <c r="A34" s="205"/>
      <c r="B34" s="356" t="s">
        <v>207</v>
      </c>
      <c r="C34" s="356"/>
      <c r="D34" s="356"/>
      <c r="E34" s="356"/>
      <c r="F34" s="356"/>
      <c r="G34" s="356"/>
      <c r="H34" s="356"/>
      <c r="I34" s="356"/>
      <c r="J34" s="356"/>
      <c r="K34" s="356"/>
      <c r="L34" s="356"/>
      <c r="M34" s="356"/>
      <c r="N34" s="356"/>
      <c r="O34" s="356"/>
      <c r="P34" s="356"/>
      <c r="Q34" s="356"/>
      <c r="R34" s="356"/>
      <c r="S34" s="356"/>
      <c r="T34" s="356"/>
      <c r="U34" s="35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row>
    <row r="35" spans="1:53" ht="15.75" customHeight="1" x14ac:dyDescent="0.25">
      <c r="A35" s="205"/>
      <c r="B35" s="357" t="s">
        <v>208</v>
      </c>
      <c r="C35" s="357"/>
      <c r="D35" s="357"/>
      <c r="E35" s="357"/>
      <c r="F35" s="357"/>
      <c r="G35" s="325" t="s">
        <v>196</v>
      </c>
      <c r="H35" s="325"/>
      <c r="I35" s="325"/>
      <c r="J35" s="325"/>
      <c r="K35" s="325"/>
      <c r="L35" s="350">
        <v>2030</v>
      </c>
      <c r="M35" s="350"/>
      <c r="N35" s="350"/>
      <c r="O35" s="350"/>
      <c r="P35" s="350"/>
      <c r="Q35" s="325">
        <v>2050</v>
      </c>
      <c r="R35" s="325"/>
      <c r="S35" s="325"/>
      <c r="T35" s="325"/>
      <c r="U35" s="325"/>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row>
    <row r="36" spans="1:53" ht="15.75" customHeight="1" x14ac:dyDescent="0.25">
      <c r="A36" s="205"/>
      <c r="B36" s="357"/>
      <c r="C36" s="357"/>
      <c r="D36" s="358"/>
      <c r="E36" s="358"/>
      <c r="F36" s="358"/>
      <c r="G36" s="203" t="s">
        <v>187</v>
      </c>
      <c r="H36" s="203" t="s">
        <v>188</v>
      </c>
      <c r="I36" s="203" t="s">
        <v>189</v>
      </c>
      <c r="J36" s="203" t="s">
        <v>190</v>
      </c>
      <c r="K36" s="203" t="s">
        <v>191</v>
      </c>
      <c r="L36" s="202" t="s">
        <v>187</v>
      </c>
      <c r="M36" s="202" t="s">
        <v>188</v>
      </c>
      <c r="N36" s="202" t="s">
        <v>189</v>
      </c>
      <c r="O36" s="202" t="s">
        <v>190</v>
      </c>
      <c r="P36" s="202" t="s">
        <v>191</v>
      </c>
      <c r="Q36" s="203" t="s">
        <v>187</v>
      </c>
      <c r="R36" s="203" t="s">
        <v>188</v>
      </c>
      <c r="S36" s="203" t="s">
        <v>189</v>
      </c>
      <c r="T36" s="203" t="s">
        <v>190</v>
      </c>
      <c r="U36" s="203" t="s">
        <v>191</v>
      </c>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row>
    <row r="37" spans="1:53" ht="15.75" customHeight="1" x14ac:dyDescent="0.25">
      <c r="A37" s="205"/>
      <c r="B37" s="305" t="s">
        <v>95</v>
      </c>
      <c r="C37" s="359"/>
      <c r="D37" s="351" t="s">
        <v>209</v>
      </c>
      <c r="E37" s="353" t="str">
        <f>IF(D15="Please select","Please select 'Functional Unit' above",D15)</f>
        <v>MW</v>
      </c>
      <c r="F37" s="354"/>
      <c r="G37" s="179">
        <f>AVERAGE(H37,I37)</f>
        <v>0.65398108602806593</v>
      </c>
      <c r="H37" s="180">
        <f>Calculations!AB183/1000</f>
        <v>0.6301479560707749</v>
      </c>
      <c r="I37" s="180">
        <f>Calculations!AB184/1000</f>
        <v>0.67781421598535685</v>
      </c>
      <c r="J37" s="180"/>
      <c r="K37" s="180"/>
      <c r="L37" s="179">
        <f>AVERAGE(M37,N37)</f>
        <v>0.51626167754838004</v>
      </c>
      <c r="M37" s="180">
        <f>Calculations!AC183/1000</f>
        <v>0.46033265483109442</v>
      </c>
      <c r="N37" s="180">
        <f>Calculations!AC184/1000</f>
        <v>0.57219070026566565</v>
      </c>
      <c r="O37" s="180"/>
      <c r="P37" s="180"/>
      <c r="Q37" s="179">
        <f>AVERAGE(R37,S37)</f>
        <v>0.34595155130897948</v>
      </c>
      <c r="R37" s="180">
        <f>Calculations!AD183/1000</f>
        <v>0.23141496933642722</v>
      </c>
      <c r="S37" s="180">
        <f>Calculations!AD184/1000</f>
        <v>0.46048813328153171</v>
      </c>
      <c r="T37" s="107"/>
      <c r="U37" s="107"/>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row>
    <row r="38" spans="1:53" x14ac:dyDescent="0.25">
      <c r="A38" s="205"/>
      <c r="B38" s="305"/>
      <c r="C38" s="359"/>
      <c r="D38" s="352"/>
      <c r="E38" s="355"/>
      <c r="F38" s="259"/>
      <c r="G38" s="109" t="s">
        <v>210</v>
      </c>
      <c r="H38" s="109" t="s">
        <v>210</v>
      </c>
      <c r="I38" s="109" t="s">
        <v>210</v>
      </c>
      <c r="J38" s="108" t="s">
        <v>193</v>
      </c>
      <c r="K38" s="108" t="s">
        <v>193</v>
      </c>
      <c r="L38" s="109" t="s">
        <v>211</v>
      </c>
      <c r="M38" s="109" t="s">
        <v>211</v>
      </c>
      <c r="N38" s="109" t="s">
        <v>211</v>
      </c>
      <c r="O38" s="108" t="s">
        <v>193</v>
      </c>
      <c r="P38" s="108" t="s">
        <v>193</v>
      </c>
      <c r="Q38" s="109" t="s">
        <v>211</v>
      </c>
      <c r="R38" s="109" t="s">
        <v>211</v>
      </c>
      <c r="S38" s="109" t="s">
        <v>211</v>
      </c>
      <c r="T38" s="108" t="s">
        <v>193</v>
      </c>
      <c r="U38" s="108" t="s">
        <v>193</v>
      </c>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row>
    <row r="39" spans="1:53" ht="15" customHeight="1" x14ac:dyDescent="0.25">
      <c r="A39" s="205"/>
      <c r="B39" s="305" t="s">
        <v>212</v>
      </c>
      <c r="C39" s="305"/>
      <c r="D39" s="351" t="s">
        <v>209</v>
      </c>
      <c r="E39" s="353" t="str">
        <f>IF(D15="Please select","Please select 'Functional Unit' above",D15)</f>
        <v>MW</v>
      </c>
      <c r="F39" s="354"/>
      <c r="G39" s="155">
        <f>SUM(Calculations!Q217:Q219)/1000</f>
        <v>7.0000000000000001E-3</v>
      </c>
      <c r="H39" s="156"/>
      <c r="I39" s="156"/>
      <c r="J39" s="156"/>
      <c r="K39" s="156"/>
      <c r="L39" s="155">
        <f>SUM(Calculations!Q217:Q219)/1000</f>
        <v>7.0000000000000001E-3</v>
      </c>
      <c r="M39" s="156"/>
      <c r="N39" s="156"/>
      <c r="O39" s="156"/>
      <c r="P39" s="156"/>
      <c r="Q39" s="155">
        <f>SUM(Calculations!Q217:Q219)/1000</f>
        <v>7.0000000000000001E-3</v>
      </c>
      <c r="R39" s="107"/>
      <c r="S39" s="107"/>
      <c r="T39" s="107"/>
      <c r="U39" s="107"/>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row>
    <row r="40" spans="1:53" ht="15" customHeight="1" x14ac:dyDescent="0.25">
      <c r="A40" s="205"/>
      <c r="B40" s="305"/>
      <c r="C40" s="305"/>
      <c r="D40" s="352"/>
      <c r="E40" s="355"/>
      <c r="F40" s="259"/>
      <c r="G40" s="109" t="s">
        <v>210</v>
      </c>
      <c r="H40" s="108" t="s">
        <v>193</v>
      </c>
      <c r="I40" s="108" t="s">
        <v>193</v>
      </c>
      <c r="J40" s="108" t="s">
        <v>193</v>
      </c>
      <c r="K40" s="108" t="s">
        <v>193</v>
      </c>
      <c r="L40" s="109" t="s">
        <v>210</v>
      </c>
      <c r="M40" s="108" t="s">
        <v>193</v>
      </c>
      <c r="N40" s="108" t="s">
        <v>193</v>
      </c>
      <c r="O40" s="108" t="s">
        <v>193</v>
      </c>
      <c r="P40" s="108" t="s">
        <v>193</v>
      </c>
      <c r="Q40" s="109" t="s">
        <v>210</v>
      </c>
      <c r="R40" s="108" t="s">
        <v>193</v>
      </c>
      <c r="S40" s="108" t="s">
        <v>193</v>
      </c>
      <c r="T40" s="108" t="s">
        <v>193</v>
      </c>
      <c r="U40" s="108" t="s">
        <v>193</v>
      </c>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row>
    <row r="41" spans="1:53" ht="15.75" customHeight="1" x14ac:dyDescent="0.25">
      <c r="A41" s="205"/>
      <c r="B41" s="305" t="s">
        <v>213</v>
      </c>
      <c r="C41" s="305"/>
      <c r="D41" s="351" t="s">
        <v>209</v>
      </c>
      <c r="E41" s="353" t="str">
        <f>IF(D13="Please select","Please select 'Functional Unit' above",D15)</f>
        <v>MW</v>
      </c>
      <c r="F41" s="354"/>
      <c r="G41" s="155">
        <f>(SUM(Calculations!Q206:Q210)+Calculations!Q211)/1000</f>
        <v>1.3143999999999999E-2</v>
      </c>
      <c r="H41" s="107"/>
      <c r="I41" s="107"/>
      <c r="J41" s="107"/>
      <c r="K41" s="107"/>
      <c r="L41" s="155">
        <f>(SUM(Calculations!Q206:Q210)+Calculations!Q212)/1000</f>
        <v>1.2566151397124596E-2</v>
      </c>
      <c r="M41" s="107"/>
      <c r="N41" s="107"/>
      <c r="O41" s="107"/>
      <c r="P41" s="107"/>
      <c r="Q41" s="155">
        <f>(SUM(Calculations!Q206:Q210)+Calculations!Q213)/1000</f>
        <v>1.185155735704427E-2</v>
      </c>
      <c r="R41" s="107"/>
      <c r="S41" s="107"/>
      <c r="T41" s="107"/>
      <c r="U41" s="107"/>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row>
    <row r="42" spans="1:53" ht="15" customHeight="1" x14ac:dyDescent="0.25">
      <c r="A42" s="205"/>
      <c r="B42" s="305"/>
      <c r="C42" s="305"/>
      <c r="D42" s="352"/>
      <c r="E42" s="355"/>
      <c r="F42" s="259"/>
      <c r="G42" s="109" t="s">
        <v>210</v>
      </c>
      <c r="H42" s="108" t="s">
        <v>193</v>
      </c>
      <c r="I42" s="108" t="s">
        <v>193</v>
      </c>
      <c r="J42" s="108" t="s">
        <v>193</v>
      </c>
      <c r="K42" s="108" t="s">
        <v>193</v>
      </c>
      <c r="L42" s="109" t="s">
        <v>210</v>
      </c>
      <c r="M42" s="108" t="s">
        <v>193</v>
      </c>
      <c r="N42" s="108" t="s">
        <v>193</v>
      </c>
      <c r="O42" s="108" t="s">
        <v>193</v>
      </c>
      <c r="P42" s="108" t="s">
        <v>193</v>
      </c>
      <c r="Q42" s="109" t="s">
        <v>210</v>
      </c>
      <c r="R42" s="108" t="s">
        <v>193</v>
      </c>
      <c r="S42" s="108" t="s">
        <v>193</v>
      </c>
      <c r="T42" s="108" t="s">
        <v>193</v>
      </c>
      <c r="U42" s="108" t="s">
        <v>193</v>
      </c>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row>
    <row r="43" spans="1:53" x14ac:dyDescent="0.25">
      <c r="A43" s="205"/>
      <c r="B43" s="305" t="s">
        <v>214</v>
      </c>
      <c r="C43" s="305"/>
      <c r="D43" s="351" t="s">
        <v>209</v>
      </c>
      <c r="E43" s="353" t="str">
        <f>IF(D15="Please select","Please select 'Activity Unit' above",D28)</f>
        <v>PJ/year</v>
      </c>
      <c r="F43" s="354"/>
      <c r="G43" s="98"/>
      <c r="H43" s="107"/>
      <c r="I43" s="107"/>
      <c r="J43" s="107"/>
      <c r="K43" s="107"/>
      <c r="L43" s="98"/>
      <c r="M43" s="107"/>
      <c r="N43" s="107"/>
      <c r="O43" s="107"/>
      <c r="P43" s="107"/>
      <c r="Q43" s="98"/>
      <c r="R43" s="107"/>
      <c r="S43" s="107"/>
      <c r="T43" s="107"/>
      <c r="U43" s="107"/>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row>
    <row r="44" spans="1:53" ht="15" customHeight="1" x14ac:dyDescent="0.25">
      <c r="A44" s="205"/>
      <c r="B44" s="305"/>
      <c r="C44" s="305"/>
      <c r="D44" s="352"/>
      <c r="E44" s="355"/>
      <c r="F44" s="259"/>
      <c r="G44" s="108" t="s">
        <v>193</v>
      </c>
      <c r="H44" s="108" t="s">
        <v>193</v>
      </c>
      <c r="I44" s="108" t="s">
        <v>193</v>
      </c>
      <c r="J44" s="108" t="s">
        <v>193</v>
      </c>
      <c r="K44" s="108" t="s">
        <v>193</v>
      </c>
      <c r="L44" s="108" t="s">
        <v>193</v>
      </c>
      <c r="M44" s="108" t="s">
        <v>193</v>
      </c>
      <c r="N44" s="108" t="s">
        <v>193</v>
      </c>
      <c r="O44" s="108" t="s">
        <v>193</v>
      </c>
      <c r="P44" s="108" t="s">
        <v>193</v>
      </c>
      <c r="Q44" s="108" t="s">
        <v>193</v>
      </c>
      <c r="R44" s="108" t="s">
        <v>193</v>
      </c>
      <c r="S44" s="108" t="s">
        <v>193</v>
      </c>
      <c r="T44" s="108" t="s">
        <v>193</v>
      </c>
      <c r="U44" s="108" t="s">
        <v>193</v>
      </c>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row>
    <row r="45" spans="1:53" ht="66" customHeight="1" x14ac:dyDescent="0.25">
      <c r="A45" s="205"/>
      <c r="B45" s="321" t="s">
        <v>215</v>
      </c>
      <c r="C45" s="321"/>
      <c r="D45" s="365" t="s">
        <v>216</v>
      </c>
      <c r="E45" s="365"/>
      <c r="F45" s="365"/>
      <c r="G45" s="365"/>
      <c r="H45" s="365"/>
      <c r="I45" s="365"/>
      <c r="J45" s="365"/>
      <c r="K45" s="365"/>
      <c r="L45" s="365"/>
      <c r="M45" s="365"/>
      <c r="N45" s="365"/>
      <c r="O45" s="365"/>
      <c r="P45" s="365"/>
      <c r="Q45" s="365"/>
      <c r="R45" s="365"/>
      <c r="S45" s="365"/>
      <c r="T45" s="365"/>
      <c r="U45" s="365"/>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BA45" s="113" t="str">
        <f>D45</f>
        <v>The investment costs are taken from public reports (PBL, 2018 and PBL, 2019). These studies aggregate multiple information sources and various checks are performed with market data. The range results from the cost estimates that are defined in seasonal intervals. 
Future costs were estimated by applying the projected cost decrease as reported in FhG-ISE (2015), albeit with a newly calibrated starting point for the year 2020, for which detailed estimates exist from SDE++ (2019). For comparison purposes: the widest investment cost range according to this report is 757-892 €2014/kWp in 2020 to 278-606 €2014/kWp by 2050. The fixed operational costs reported are taken from SDE++ 2020 (2019) and cover the O&amp;M, metering, insurance and taxes (time-dependent, correlated to investment cost development), connection costs. 
Under 'Other costs' some of the  cost components missing in the SDE+ were added: costs for societal support, asset management and land or roof lease (these three cost components are not considered in SDE+, which is a result of the chosen system boundaries of the scheme). 
All information is based on publicly available data.</v>
      </c>
    </row>
    <row r="46" spans="1:53" ht="21" customHeight="1" x14ac:dyDescent="0.25">
      <c r="A46" s="205"/>
      <c r="B46" s="356" t="s">
        <v>109</v>
      </c>
      <c r="C46" s="356"/>
      <c r="D46" s="356"/>
      <c r="E46" s="356"/>
      <c r="F46" s="356"/>
      <c r="G46" s="356"/>
      <c r="H46" s="356"/>
      <c r="I46" s="356"/>
      <c r="J46" s="356"/>
      <c r="K46" s="356"/>
      <c r="L46" s="356"/>
      <c r="M46" s="356"/>
      <c r="N46" s="356"/>
      <c r="O46" s="356"/>
      <c r="P46" s="356"/>
      <c r="Q46" s="356"/>
      <c r="R46" s="356"/>
      <c r="S46" s="356"/>
      <c r="T46" s="356"/>
      <c r="U46" s="35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row>
    <row r="47" spans="1:53" ht="15.75" customHeight="1" x14ac:dyDescent="0.25">
      <c r="A47" s="205"/>
      <c r="B47" s="360" t="s">
        <v>217</v>
      </c>
      <c r="C47" s="361"/>
      <c r="D47" s="364" t="s">
        <v>218</v>
      </c>
      <c r="E47" s="364"/>
      <c r="F47" s="364" t="s">
        <v>195</v>
      </c>
      <c r="G47" s="325" t="s">
        <v>196</v>
      </c>
      <c r="H47" s="325"/>
      <c r="I47" s="325"/>
      <c r="J47" s="325"/>
      <c r="K47" s="325"/>
      <c r="L47" s="350">
        <v>2030</v>
      </c>
      <c r="M47" s="350"/>
      <c r="N47" s="350"/>
      <c r="O47" s="350"/>
      <c r="P47" s="350"/>
      <c r="Q47" s="325">
        <v>2050</v>
      </c>
      <c r="R47" s="325"/>
      <c r="S47" s="325"/>
      <c r="T47" s="325"/>
      <c r="U47" s="325"/>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row>
    <row r="48" spans="1:53" x14ac:dyDescent="0.25">
      <c r="A48" s="205"/>
      <c r="B48" s="362"/>
      <c r="C48" s="363"/>
      <c r="D48" s="364"/>
      <c r="E48" s="364"/>
      <c r="F48" s="364"/>
      <c r="G48" s="203" t="s">
        <v>187</v>
      </c>
      <c r="H48" s="203" t="s">
        <v>188</v>
      </c>
      <c r="I48" s="203" t="s">
        <v>189</v>
      </c>
      <c r="J48" s="203" t="s">
        <v>190</v>
      </c>
      <c r="K48" s="203" t="s">
        <v>191</v>
      </c>
      <c r="L48" s="202" t="s">
        <v>187</v>
      </c>
      <c r="M48" s="202" t="s">
        <v>188</v>
      </c>
      <c r="N48" s="202" t="s">
        <v>189</v>
      </c>
      <c r="O48" s="202" t="s">
        <v>190</v>
      </c>
      <c r="P48" s="202" t="s">
        <v>191</v>
      </c>
      <c r="Q48" s="203" t="s">
        <v>187</v>
      </c>
      <c r="R48" s="203" t="s">
        <v>188</v>
      </c>
      <c r="S48" s="203" t="s">
        <v>189</v>
      </c>
      <c r="T48" s="203" t="s">
        <v>190</v>
      </c>
      <c r="U48" s="203" t="s">
        <v>191</v>
      </c>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row>
    <row r="49" spans="1:53" ht="15.75" customHeight="1" x14ac:dyDescent="0.25">
      <c r="A49" s="205"/>
      <c r="B49" s="366" t="s">
        <v>219</v>
      </c>
      <c r="C49" s="367"/>
      <c r="D49" s="372" t="s">
        <v>220</v>
      </c>
      <c r="E49" s="372"/>
      <c r="F49" s="373" t="s">
        <v>150</v>
      </c>
      <c r="G49" s="157">
        <v>-1</v>
      </c>
      <c r="H49" s="107"/>
      <c r="I49" s="107"/>
      <c r="J49" s="107"/>
      <c r="K49" s="107"/>
      <c r="L49" s="98">
        <v>-1</v>
      </c>
      <c r="M49" s="107"/>
      <c r="N49" s="107"/>
      <c r="O49" s="107"/>
      <c r="P49" s="107"/>
      <c r="Q49" s="98">
        <v>-1</v>
      </c>
      <c r="R49" s="107"/>
      <c r="S49" s="107"/>
      <c r="T49" s="107"/>
      <c r="U49" s="107"/>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row>
    <row r="50" spans="1:53" x14ac:dyDescent="0.25">
      <c r="A50" s="205"/>
      <c r="B50" s="368"/>
      <c r="C50" s="369"/>
      <c r="D50" s="372"/>
      <c r="E50" s="372"/>
      <c r="F50" s="373"/>
      <c r="G50" s="109" t="s">
        <v>193</v>
      </c>
      <c r="H50" s="108" t="s">
        <v>193</v>
      </c>
      <c r="I50" s="108" t="s">
        <v>193</v>
      </c>
      <c r="J50" s="108" t="s">
        <v>193</v>
      </c>
      <c r="K50" s="108" t="s">
        <v>193</v>
      </c>
      <c r="L50" s="109" t="s">
        <v>193</v>
      </c>
      <c r="M50" s="108" t="s">
        <v>193</v>
      </c>
      <c r="N50" s="108" t="s">
        <v>193</v>
      </c>
      <c r="O50" s="108" t="s">
        <v>193</v>
      </c>
      <c r="P50" s="108" t="s">
        <v>193</v>
      </c>
      <c r="Q50" s="109" t="s">
        <v>193</v>
      </c>
      <c r="R50" s="108" t="s">
        <v>193</v>
      </c>
      <c r="S50" s="108" t="s">
        <v>193</v>
      </c>
      <c r="T50" s="108" t="s">
        <v>193</v>
      </c>
      <c r="U50" s="108" t="s">
        <v>193</v>
      </c>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row>
    <row r="51" spans="1:53" ht="15" customHeight="1" x14ac:dyDescent="0.25">
      <c r="A51" s="205"/>
      <c r="B51" s="368"/>
      <c r="C51" s="369"/>
      <c r="D51" s="374" t="s">
        <v>221</v>
      </c>
      <c r="E51" s="375"/>
      <c r="F51" s="373" t="s">
        <v>150</v>
      </c>
      <c r="G51" s="98">
        <v>1</v>
      </c>
      <c r="H51" s="107"/>
      <c r="I51" s="107"/>
      <c r="J51" s="107"/>
      <c r="K51" s="107"/>
      <c r="L51" s="98">
        <v>1</v>
      </c>
      <c r="M51" s="107"/>
      <c r="N51" s="107"/>
      <c r="O51" s="107"/>
      <c r="P51" s="107"/>
      <c r="Q51" s="98">
        <v>1</v>
      </c>
      <c r="R51" s="107"/>
      <c r="S51" s="107"/>
      <c r="T51" s="107"/>
      <c r="U51" s="107"/>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row>
    <row r="52" spans="1:53" x14ac:dyDescent="0.25">
      <c r="A52" s="205"/>
      <c r="B52" s="368"/>
      <c r="C52" s="369"/>
      <c r="D52" s="376"/>
      <c r="E52" s="377"/>
      <c r="F52" s="373"/>
      <c r="G52" s="108" t="s">
        <v>193</v>
      </c>
      <c r="H52" s="108" t="s">
        <v>193</v>
      </c>
      <c r="I52" s="108" t="s">
        <v>193</v>
      </c>
      <c r="J52" s="108" t="s">
        <v>193</v>
      </c>
      <c r="K52" s="108" t="s">
        <v>193</v>
      </c>
      <c r="L52" s="108" t="s">
        <v>193</v>
      </c>
      <c r="M52" s="108" t="s">
        <v>193</v>
      </c>
      <c r="N52" s="108" t="s">
        <v>193</v>
      </c>
      <c r="O52" s="108" t="s">
        <v>193</v>
      </c>
      <c r="P52" s="108" t="s">
        <v>193</v>
      </c>
      <c r="Q52" s="108" t="s">
        <v>193</v>
      </c>
      <c r="R52" s="108" t="s">
        <v>193</v>
      </c>
      <c r="S52" s="108" t="s">
        <v>193</v>
      </c>
      <c r="T52" s="108" t="s">
        <v>193</v>
      </c>
      <c r="U52" s="108" t="s">
        <v>193</v>
      </c>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row>
    <row r="53" spans="1:53" x14ac:dyDescent="0.25">
      <c r="A53" s="205"/>
      <c r="B53" s="368"/>
      <c r="C53" s="369"/>
      <c r="D53" s="372" t="s">
        <v>204</v>
      </c>
      <c r="E53" s="372"/>
      <c r="F53" s="373" t="s">
        <v>150</v>
      </c>
      <c r="G53" s="98"/>
      <c r="H53" s="107"/>
      <c r="I53" s="107"/>
      <c r="J53" s="107"/>
      <c r="K53" s="107"/>
      <c r="L53" s="98"/>
      <c r="M53" s="107"/>
      <c r="N53" s="107"/>
      <c r="O53" s="107"/>
      <c r="P53" s="107"/>
      <c r="Q53" s="98"/>
      <c r="R53" s="107"/>
      <c r="S53" s="107"/>
      <c r="T53" s="107"/>
      <c r="U53" s="107"/>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row>
    <row r="54" spans="1:53" x14ac:dyDescent="0.25">
      <c r="A54" s="205"/>
      <c r="B54" s="368"/>
      <c r="C54" s="369"/>
      <c r="D54" s="372"/>
      <c r="E54" s="372"/>
      <c r="F54" s="373"/>
      <c r="G54" s="108" t="s">
        <v>193</v>
      </c>
      <c r="H54" s="108" t="s">
        <v>193</v>
      </c>
      <c r="I54" s="108" t="s">
        <v>193</v>
      </c>
      <c r="J54" s="108" t="s">
        <v>193</v>
      </c>
      <c r="K54" s="108" t="s">
        <v>193</v>
      </c>
      <c r="L54" s="108" t="s">
        <v>193</v>
      </c>
      <c r="M54" s="108" t="s">
        <v>193</v>
      </c>
      <c r="N54" s="108" t="s">
        <v>193</v>
      </c>
      <c r="O54" s="108" t="s">
        <v>193</v>
      </c>
      <c r="P54" s="108" t="s">
        <v>193</v>
      </c>
      <c r="Q54" s="108" t="s">
        <v>193</v>
      </c>
      <c r="R54" s="108" t="s">
        <v>193</v>
      </c>
      <c r="S54" s="108" t="s">
        <v>193</v>
      </c>
      <c r="T54" s="108" t="s">
        <v>193</v>
      </c>
      <c r="U54" s="108" t="s">
        <v>193</v>
      </c>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row>
    <row r="55" spans="1:53" x14ac:dyDescent="0.25">
      <c r="A55" s="205"/>
      <c r="B55" s="368"/>
      <c r="C55" s="369"/>
      <c r="D55" s="372" t="s">
        <v>204</v>
      </c>
      <c r="E55" s="372"/>
      <c r="F55" s="373" t="s">
        <v>150</v>
      </c>
      <c r="G55" s="98"/>
      <c r="H55" s="107"/>
      <c r="I55" s="107"/>
      <c r="J55" s="107"/>
      <c r="K55" s="107"/>
      <c r="L55" s="98"/>
      <c r="M55" s="107"/>
      <c r="N55" s="107"/>
      <c r="O55" s="107"/>
      <c r="P55" s="107"/>
      <c r="Q55" s="98"/>
      <c r="R55" s="107"/>
      <c r="S55" s="107"/>
      <c r="T55" s="107"/>
      <c r="U55" s="107"/>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row>
    <row r="56" spans="1:53" x14ac:dyDescent="0.25">
      <c r="A56" s="205"/>
      <c r="B56" s="370"/>
      <c r="C56" s="371"/>
      <c r="D56" s="372"/>
      <c r="E56" s="372"/>
      <c r="F56" s="373"/>
      <c r="G56" s="108" t="s">
        <v>193</v>
      </c>
      <c r="H56" s="108" t="s">
        <v>193</v>
      </c>
      <c r="I56" s="108" t="s">
        <v>193</v>
      </c>
      <c r="J56" s="108" t="s">
        <v>193</v>
      </c>
      <c r="K56" s="108" t="s">
        <v>193</v>
      </c>
      <c r="L56" s="108" t="s">
        <v>193</v>
      </c>
      <c r="M56" s="108" t="s">
        <v>193</v>
      </c>
      <c r="N56" s="108" t="s">
        <v>193</v>
      </c>
      <c r="O56" s="108" t="s">
        <v>193</v>
      </c>
      <c r="P56" s="108" t="s">
        <v>193</v>
      </c>
      <c r="Q56" s="108" t="s">
        <v>193</v>
      </c>
      <c r="R56" s="108" t="s">
        <v>193</v>
      </c>
      <c r="S56" s="108" t="s">
        <v>193</v>
      </c>
      <c r="T56" s="108" t="s">
        <v>193</v>
      </c>
      <c r="U56" s="108" t="s">
        <v>193</v>
      </c>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row>
    <row r="57" spans="1:53" ht="40.5" customHeight="1" x14ac:dyDescent="0.25">
      <c r="A57" s="205"/>
      <c r="B57" s="305" t="s">
        <v>222</v>
      </c>
      <c r="C57" s="305"/>
      <c r="D57" s="379" t="s">
        <v>223</v>
      </c>
      <c r="E57" s="379"/>
      <c r="F57" s="379"/>
      <c r="G57" s="379"/>
      <c r="H57" s="379"/>
      <c r="I57" s="379"/>
      <c r="J57" s="379"/>
      <c r="K57" s="379"/>
      <c r="L57" s="379"/>
      <c r="M57" s="379"/>
      <c r="N57" s="379"/>
      <c r="O57" s="379"/>
      <c r="P57" s="379"/>
      <c r="Q57" s="379"/>
      <c r="R57" s="379"/>
      <c r="S57" s="379"/>
      <c r="T57" s="379"/>
      <c r="U57" s="379"/>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BA57" s="113" t="str">
        <f>D57</f>
        <v>Solar in = 1 and electricity out = -1.</v>
      </c>
    </row>
    <row r="58" spans="1:53" ht="21" customHeight="1" x14ac:dyDescent="0.25">
      <c r="A58" s="205"/>
      <c r="B58" s="380" t="s">
        <v>224</v>
      </c>
      <c r="C58" s="381"/>
      <c r="D58" s="381"/>
      <c r="E58" s="381"/>
      <c r="F58" s="381"/>
      <c r="G58" s="381"/>
      <c r="H58" s="381"/>
      <c r="I58" s="381"/>
      <c r="J58" s="381"/>
      <c r="K58" s="381"/>
      <c r="L58" s="381"/>
      <c r="M58" s="381"/>
      <c r="N58" s="381"/>
      <c r="O58" s="381"/>
      <c r="P58" s="381"/>
      <c r="Q58" s="381"/>
      <c r="R58" s="381"/>
      <c r="S58" s="381"/>
      <c r="T58" s="381"/>
      <c r="U58" s="381"/>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row>
    <row r="59" spans="1:53" ht="16.5" customHeight="1" x14ac:dyDescent="0.25">
      <c r="A59" s="205"/>
      <c r="B59" s="366" t="s">
        <v>225</v>
      </c>
      <c r="C59" s="367"/>
      <c r="D59" s="382" t="s">
        <v>226</v>
      </c>
      <c r="E59" s="383"/>
      <c r="F59" s="386" t="s">
        <v>195</v>
      </c>
      <c r="G59" s="325" t="s">
        <v>196</v>
      </c>
      <c r="H59" s="325"/>
      <c r="I59" s="325"/>
      <c r="J59" s="325"/>
      <c r="K59" s="325"/>
      <c r="L59" s="350">
        <v>2030</v>
      </c>
      <c r="M59" s="350"/>
      <c r="N59" s="350"/>
      <c r="O59" s="350"/>
      <c r="P59" s="350"/>
      <c r="Q59" s="325">
        <v>2050</v>
      </c>
      <c r="R59" s="325"/>
      <c r="S59" s="325"/>
      <c r="T59" s="325"/>
      <c r="U59" s="325"/>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row>
    <row r="60" spans="1:53" x14ac:dyDescent="0.25">
      <c r="A60" s="205"/>
      <c r="B60" s="368"/>
      <c r="C60" s="369"/>
      <c r="D60" s="384"/>
      <c r="E60" s="385"/>
      <c r="F60" s="387"/>
      <c r="G60" s="203" t="s">
        <v>187</v>
      </c>
      <c r="H60" s="203" t="s">
        <v>188</v>
      </c>
      <c r="I60" s="203" t="s">
        <v>189</v>
      </c>
      <c r="J60" s="203" t="s">
        <v>190</v>
      </c>
      <c r="K60" s="203" t="s">
        <v>191</v>
      </c>
      <c r="L60" s="202" t="s">
        <v>187</v>
      </c>
      <c r="M60" s="202" t="s">
        <v>188</v>
      </c>
      <c r="N60" s="202" t="s">
        <v>189</v>
      </c>
      <c r="O60" s="202" t="s">
        <v>190</v>
      </c>
      <c r="P60" s="202" t="s">
        <v>191</v>
      </c>
      <c r="Q60" s="203" t="s">
        <v>187</v>
      </c>
      <c r="R60" s="203" t="s">
        <v>188</v>
      </c>
      <c r="S60" s="203" t="s">
        <v>189</v>
      </c>
      <c r="T60" s="203" t="s">
        <v>190</v>
      </c>
      <c r="U60" s="203" t="s">
        <v>191</v>
      </c>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row>
    <row r="61" spans="1:53" ht="15.75" customHeight="1" x14ac:dyDescent="0.25">
      <c r="A61" s="205"/>
      <c r="B61" s="368"/>
      <c r="C61" s="369"/>
      <c r="D61" s="372" t="s">
        <v>203</v>
      </c>
      <c r="E61" s="372"/>
      <c r="F61" s="378" t="s">
        <v>203</v>
      </c>
      <c r="G61" s="98"/>
      <c r="H61" s="107"/>
      <c r="I61" s="107"/>
      <c r="J61" s="107"/>
      <c r="K61" s="107"/>
      <c r="L61" s="98"/>
      <c r="M61" s="107"/>
      <c r="N61" s="107"/>
      <c r="O61" s="107"/>
      <c r="P61" s="107"/>
      <c r="Q61" s="98"/>
      <c r="R61" s="107"/>
      <c r="S61" s="107"/>
      <c r="T61" s="107"/>
      <c r="U61" s="107"/>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row>
    <row r="62" spans="1:53" x14ac:dyDescent="0.25">
      <c r="A62" s="205"/>
      <c r="B62" s="368"/>
      <c r="C62" s="369"/>
      <c r="D62" s="372"/>
      <c r="E62" s="372"/>
      <c r="F62" s="378"/>
      <c r="G62" s="109" t="s">
        <v>193</v>
      </c>
      <c r="H62" s="108" t="s">
        <v>193</v>
      </c>
      <c r="I62" s="108" t="s">
        <v>193</v>
      </c>
      <c r="J62" s="108" t="s">
        <v>193</v>
      </c>
      <c r="K62" s="108" t="s">
        <v>193</v>
      </c>
      <c r="L62" s="109" t="s">
        <v>193</v>
      </c>
      <c r="M62" s="108" t="s">
        <v>193</v>
      </c>
      <c r="N62" s="108" t="s">
        <v>193</v>
      </c>
      <c r="O62" s="108" t="s">
        <v>193</v>
      </c>
      <c r="P62" s="108" t="s">
        <v>193</v>
      </c>
      <c r="Q62" s="109" t="s">
        <v>193</v>
      </c>
      <c r="R62" s="108" t="s">
        <v>193</v>
      </c>
      <c r="S62" s="108" t="s">
        <v>193</v>
      </c>
      <c r="T62" s="108" t="s">
        <v>193</v>
      </c>
      <c r="U62" s="108" t="s">
        <v>193</v>
      </c>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row>
    <row r="63" spans="1:53" x14ac:dyDescent="0.25">
      <c r="A63" s="205"/>
      <c r="B63" s="368"/>
      <c r="C63" s="369"/>
      <c r="D63" s="372" t="s">
        <v>203</v>
      </c>
      <c r="E63" s="372"/>
      <c r="F63" s="378" t="s">
        <v>203</v>
      </c>
      <c r="G63" s="98"/>
      <c r="H63" s="107"/>
      <c r="I63" s="107"/>
      <c r="J63" s="107"/>
      <c r="K63" s="107"/>
      <c r="L63" s="98"/>
      <c r="M63" s="107"/>
      <c r="N63" s="107"/>
      <c r="O63" s="107"/>
      <c r="P63" s="107"/>
      <c r="Q63" s="98"/>
      <c r="R63" s="107"/>
      <c r="S63" s="107"/>
      <c r="T63" s="107"/>
      <c r="U63" s="107"/>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row>
    <row r="64" spans="1:53" x14ac:dyDescent="0.25">
      <c r="A64" s="205"/>
      <c r="B64" s="370"/>
      <c r="C64" s="371"/>
      <c r="D64" s="372"/>
      <c r="E64" s="372"/>
      <c r="F64" s="378"/>
      <c r="G64" s="108" t="s">
        <v>193</v>
      </c>
      <c r="H64" s="108" t="s">
        <v>193</v>
      </c>
      <c r="I64" s="108" t="s">
        <v>193</v>
      </c>
      <c r="J64" s="108" t="s">
        <v>193</v>
      </c>
      <c r="K64" s="108" t="s">
        <v>193</v>
      </c>
      <c r="L64" s="108" t="s">
        <v>193</v>
      </c>
      <c r="M64" s="108" t="s">
        <v>193</v>
      </c>
      <c r="N64" s="108" t="s">
        <v>193</v>
      </c>
      <c r="O64" s="108" t="s">
        <v>193</v>
      </c>
      <c r="P64" s="108" t="s">
        <v>193</v>
      </c>
      <c r="Q64" s="108" t="s">
        <v>193</v>
      </c>
      <c r="R64" s="108" t="s">
        <v>193</v>
      </c>
      <c r="S64" s="108" t="s">
        <v>193</v>
      </c>
      <c r="T64" s="108" t="s">
        <v>193</v>
      </c>
      <c r="U64" s="108" t="s">
        <v>193</v>
      </c>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row>
    <row r="65" spans="1:53" ht="40.5" customHeight="1" x14ac:dyDescent="0.25">
      <c r="A65" s="205"/>
      <c r="B65" s="305" t="s">
        <v>227</v>
      </c>
      <c r="C65" s="305"/>
      <c r="D65" s="379" t="s">
        <v>228</v>
      </c>
      <c r="E65" s="379"/>
      <c r="F65" s="379"/>
      <c r="G65" s="379"/>
      <c r="H65" s="379"/>
      <c r="I65" s="379"/>
      <c r="J65" s="379"/>
      <c r="K65" s="379"/>
      <c r="L65" s="379"/>
      <c r="M65" s="379"/>
      <c r="N65" s="379"/>
      <c r="O65" s="379"/>
      <c r="P65" s="379"/>
      <c r="Q65" s="379"/>
      <c r="R65" s="379"/>
      <c r="S65" s="379"/>
      <c r="T65" s="379"/>
      <c r="U65" s="379"/>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BA65" s="113" t="str">
        <f>D65</f>
        <v>Explain here</v>
      </c>
    </row>
    <row r="66" spans="1:53" ht="21" customHeight="1" x14ac:dyDescent="0.25">
      <c r="A66" s="205"/>
      <c r="B66" s="356" t="s">
        <v>229</v>
      </c>
      <c r="C66" s="356"/>
      <c r="D66" s="356"/>
      <c r="E66" s="356"/>
      <c r="F66" s="356"/>
      <c r="G66" s="356"/>
      <c r="H66" s="356"/>
      <c r="I66" s="356"/>
      <c r="J66" s="356"/>
      <c r="K66" s="356"/>
      <c r="L66" s="356"/>
      <c r="M66" s="356"/>
      <c r="N66" s="356"/>
      <c r="O66" s="356"/>
      <c r="P66" s="356"/>
      <c r="Q66" s="356"/>
      <c r="R66" s="356"/>
      <c r="S66" s="356"/>
      <c r="T66" s="356"/>
      <c r="U66" s="35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row>
    <row r="67" spans="1:53" ht="16.5" customHeight="1" x14ac:dyDescent="0.25">
      <c r="A67" s="205"/>
      <c r="B67" s="400" t="s">
        <v>121</v>
      </c>
      <c r="C67" s="400"/>
      <c r="D67" s="364" t="s">
        <v>230</v>
      </c>
      <c r="E67" s="364"/>
      <c r="F67" s="364" t="s">
        <v>195</v>
      </c>
      <c r="G67" s="325" t="s">
        <v>196</v>
      </c>
      <c r="H67" s="325"/>
      <c r="I67" s="325"/>
      <c r="J67" s="325"/>
      <c r="K67" s="325"/>
      <c r="L67" s="350">
        <v>2030</v>
      </c>
      <c r="M67" s="350"/>
      <c r="N67" s="350"/>
      <c r="O67" s="350"/>
      <c r="P67" s="350"/>
      <c r="Q67" s="325">
        <v>2050</v>
      </c>
      <c r="R67" s="325"/>
      <c r="S67" s="325"/>
      <c r="T67" s="325"/>
      <c r="U67" s="325"/>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row>
    <row r="68" spans="1:53" ht="15.75" customHeight="1" x14ac:dyDescent="0.25">
      <c r="A68" s="205"/>
      <c r="B68" s="400"/>
      <c r="C68" s="400"/>
      <c r="D68" s="364"/>
      <c r="E68" s="364"/>
      <c r="F68" s="364"/>
      <c r="G68" s="203" t="s">
        <v>187</v>
      </c>
      <c r="H68" s="203" t="s">
        <v>188</v>
      </c>
      <c r="I68" s="203" t="s">
        <v>189</v>
      </c>
      <c r="J68" s="203" t="s">
        <v>190</v>
      </c>
      <c r="K68" s="203" t="s">
        <v>191</v>
      </c>
      <c r="L68" s="202" t="s">
        <v>187</v>
      </c>
      <c r="M68" s="202" t="s">
        <v>188</v>
      </c>
      <c r="N68" s="202" t="s">
        <v>189</v>
      </c>
      <c r="O68" s="202" t="s">
        <v>190</v>
      </c>
      <c r="P68" s="202" t="s">
        <v>191</v>
      </c>
      <c r="Q68" s="203" t="s">
        <v>187</v>
      </c>
      <c r="R68" s="203" t="s">
        <v>188</v>
      </c>
      <c r="S68" s="203" t="s">
        <v>189</v>
      </c>
      <c r="T68" s="203" t="s">
        <v>190</v>
      </c>
      <c r="U68" s="203" t="s">
        <v>191</v>
      </c>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row>
    <row r="69" spans="1:53" ht="15.75" customHeight="1" x14ac:dyDescent="0.25">
      <c r="A69" s="205"/>
      <c r="B69" s="400"/>
      <c r="C69" s="400"/>
      <c r="D69" s="372" t="s">
        <v>204</v>
      </c>
      <c r="E69" s="372"/>
      <c r="F69" s="378" t="s">
        <v>204</v>
      </c>
      <c r="G69" s="98"/>
      <c r="H69" s="107"/>
      <c r="I69" s="107"/>
      <c r="J69" s="107"/>
      <c r="K69" s="107"/>
      <c r="L69" s="98"/>
      <c r="M69" s="107"/>
      <c r="N69" s="107"/>
      <c r="O69" s="107"/>
      <c r="P69" s="107"/>
      <c r="Q69" s="98"/>
      <c r="R69" s="107"/>
      <c r="S69" s="107"/>
      <c r="T69" s="107"/>
      <c r="U69" s="107"/>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row>
    <row r="70" spans="1:53" ht="15.75" customHeight="1" x14ac:dyDescent="0.25">
      <c r="A70" s="205"/>
      <c r="B70" s="400"/>
      <c r="C70" s="400"/>
      <c r="D70" s="372"/>
      <c r="E70" s="372"/>
      <c r="F70" s="378"/>
      <c r="G70" s="109" t="s">
        <v>193</v>
      </c>
      <c r="H70" s="108" t="s">
        <v>193</v>
      </c>
      <c r="I70" s="108" t="s">
        <v>193</v>
      </c>
      <c r="J70" s="108" t="s">
        <v>193</v>
      </c>
      <c r="K70" s="108" t="s">
        <v>193</v>
      </c>
      <c r="L70" s="109" t="s">
        <v>193</v>
      </c>
      <c r="M70" s="108" t="s">
        <v>193</v>
      </c>
      <c r="N70" s="108" t="s">
        <v>193</v>
      </c>
      <c r="O70" s="108" t="s">
        <v>193</v>
      </c>
      <c r="P70" s="108" t="s">
        <v>193</v>
      </c>
      <c r="Q70" s="109" t="s">
        <v>193</v>
      </c>
      <c r="R70" s="108" t="s">
        <v>193</v>
      </c>
      <c r="S70" s="108" t="s">
        <v>193</v>
      </c>
      <c r="T70" s="108" t="s">
        <v>193</v>
      </c>
      <c r="U70" s="108" t="s">
        <v>193</v>
      </c>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row>
    <row r="71" spans="1:53" ht="15.75" customHeight="1" x14ac:dyDescent="0.25">
      <c r="A71" s="205"/>
      <c r="B71" s="400"/>
      <c r="C71" s="400"/>
      <c r="D71" s="372" t="s">
        <v>204</v>
      </c>
      <c r="E71" s="372"/>
      <c r="F71" s="378" t="s">
        <v>204</v>
      </c>
      <c r="G71" s="98"/>
      <c r="H71" s="107"/>
      <c r="I71" s="107"/>
      <c r="J71" s="107"/>
      <c r="K71" s="107"/>
      <c r="L71" s="98"/>
      <c r="M71" s="107"/>
      <c r="N71" s="107"/>
      <c r="O71" s="107"/>
      <c r="P71" s="107"/>
      <c r="Q71" s="98"/>
      <c r="R71" s="107"/>
      <c r="S71" s="107"/>
      <c r="T71" s="107"/>
      <c r="U71" s="107"/>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row>
    <row r="72" spans="1:53" ht="15.75" customHeight="1" x14ac:dyDescent="0.25">
      <c r="A72" s="205"/>
      <c r="B72" s="400"/>
      <c r="C72" s="400"/>
      <c r="D72" s="372"/>
      <c r="E72" s="372"/>
      <c r="F72" s="378"/>
      <c r="G72" s="108" t="s">
        <v>193</v>
      </c>
      <c r="H72" s="108" t="s">
        <v>193</v>
      </c>
      <c r="I72" s="108" t="s">
        <v>193</v>
      </c>
      <c r="J72" s="108" t="s">
        <v>193</v>
      </c>
      <c r="K72" s="108" t="s">
        <v>193</v>
      </c>
      <c r="L72" s="108" t="s">
        <v>193</v>
      </c>
      <c r="M72" s="108" t="s">
        <v>193</v>
      </c>
      <c r="N72" s="108" t="s">
        <v>193</v>
      </c>
      <c r="O72" s="108" t="s">
        <v>193</v>
      </c>
      <c r="P72" s="108" t="s">
        <v>193</v>
      </c>
      <c r="Q72" s="108" t="s">
        <v>193</v>
      </c>
      <c r="R72" s="108" t="s">
        <v>193</v>
      </c>
      <c r="S72" s="108" t="s">
        <v>193</v>
      </c>
      <c r="T72" s="108" t="s">
        <v>193</v>
      </c>
      <c r="U72" s="108" t="s">
        <v>193</v>
      </c>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row>
    <row r="73" spans="1:53" ht="15.75" customHeight="1" x14ac:dyDescent="0.25">
      <c r="A73" s="205"/>
      <c r="B73" s="400"/>
      <c r="C73" s="400"/>
      <c r="D73" s="372" t="s">
        <v>204</v>
      </c>
      <c r="E73" s="372"/>
      <c r="F73" s="378" t="s">
        <v>204</v>
      </c>
      <c r="G73" s="98"/>
      <c r="H73" s="107"/>
      <c r="I73" s="107"/>
      <c r="J73" s="107"/>
      <c r="K73" s="107"/>
      <c r="L73" s="98"/>
      <c r="M73" s="107"/>
      <c r="N73" s="107"/>
      <c r="O73" s="107"/>
      <c r="P73" s="107"/>
      <c r="Q73" s="98"/>
      <c r="R73" s="107"/>
      <c r="S73" s="107"/>
      <c r="T73" s="107"/>
      <c r="U73" s="107"/>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row>
    <row r="74" spans="1:53" ht="15.75" customHeight="1" x14ac:dyDescent="0.25">
      <c r="A74" s="205"/>
      <c r="B74" s="400"/>
      <c r="C74" s="400"/>
      <c r="D74" s="372"/>
      <c r="E74" s="372"/>
      <c r="F74" s="378"/>
      <c r="G74" s="108" t="s">
        <v>193</v>
      </c>
      <c r="H74" s="108" t="s">
        <v>193</v>
      </c>
      <c r="I74" s="108" t="s">
        <v>193</v>
      </c>
      <c r="J74" s="108" t="s">
        <v>193</v>
      </c>
      <c r="K74" s="108" t="s">
        <v>193</v>
      </c>
      <c r="L74" s="108" t="s">
        <v>193</v>
      </c>
      <c r="M74" s="108" t="s">
        <v>193</v>
      </c>
      <c r="N74" s="108" t="s">
        <v>193</v>
      </c>
      <c r="O74" s="108" t="s">
        <v>193</v>
      </c>
      <c r="P74" s="108" t="s">
        <v>193</v>
      </c>
      <c r="Q74" s="108" t="s">
        <v>193</v>
      </c>
      <c r="R74" s="108" t="s">
        <v>193</v>
      </c>
      <c r="S74" s="108" t="s">
        <v>193</v>
      </c>
      <c r="T74" s="108" t="s">
        <v>193</v>
      </c>
      <c r="U74" s="108" t="s">
        <v>193</v>
      </c>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row>
    <row r="75" spans="1:53" ht="15.75" customHeight="1" x14ac:dyDescent="0.25">
      <c r="A75" s="205"/>
      <c r="B75" s="400"/>
      <c r="C75" s="400"/>
      <c r="D75" s="372" t="s">
        <v>204</v>
      </c>
      <c r="E75" s="372"/>
      <c r="F75" s="378" t="s">
        <v>204</v>
      </c>
      <c r="G75" s="98"/>
      <c r="H75" s="107"/>
      <c r="I75" s="107"/>
      <c r="J75" s="107"/>
      <c r="K75" s="107"/>
      <c r="L75" s="98"/>
      <c r="M75" s="107"/>
      <c r="N75" s="107"/>
      <c r="O75" s="107"/>
      <c r="P75" s="107"/>
      <c r="Q75" s="98"/>
      <c r="R75" s="107"/>
      <c r="S75" s="107"/>
      <c r="T75" s="107"/>
      <c r="U75" s="107"/>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row>
    <row r="76" spans="1:53" ht="16.5" customHeight="1" x14ac:dyDescent="0.25">
      <c r="A76" s="205"/>
      <c r="B76" s="400"/>
      <c r="C76" s="400"/>
      <c r="D76" s="372"/>
      <c r="E76" s="372"/>
      <c r="F76" s="378"/>
      <c r="G76" s="108" t="s">
        <v>193</v>
      </c>
      <c r="H76" s="108" t="s">
        <v>193</v>
      </c>
      <c r="I76" s="108" t="s">
        <v>193</v>
      </c>
      <c r="J76" s="108" t="s">
        <v>193</v>
      </c>
      <c r="K76" s="108" t="s">
        <v>193</v>
      </c>
      <c r="L76" s="108" t="s">
        <v>193</v>
      </c>
      <c r="M76" s="108" t="s">
        <v>193</v>
      </c>
      <c r="N76" s="108" t="s">
        <v>193</v>
      </c>
      <c r="O76" s="108" t="s">
        <v>193</v>
      </c>
      <c r="P76" s="108" t="s">
        <v>193</v>
      </c>
      <c r="Q76" s="108" t="s">
        <v>193</v>
      </c>
      <c r="R76" s="108" t="s">
        <v>193</v>
      </c>
      <c r="S76" s="108" t="s">
        <v>193</v>
      </c>
      <c r="T76" s="108" t="s">
        <v>193</v>
      </c>
      <c r="U76" s="108" t="s">
        <v>193</v>
      </c>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row>
    <row r="77" spans="1:53" ht="40.5" customHeight="1" x14ac:dyDescent="0.25">
      <c r="A77" s="205"/>
      <c r="B77" s="305" t="s">
        <v>231</v>
      </c>
      <c r="C77" s="305"/>
      <c r="D77" s="397" t="s">
        <v>232</v>
      </c>
      <c r="E77" s="398"/>
      <c r="F77" s="398"/>
      <c r="G77" s="398"/>
      <c r="H77" s="398"/>
      <c r="I77" s="398"/>
      <c r="J77" s="398"/>
      <c r="K77" s="398"/>
      <c r="L77" s="398"/>
      <c r="M77" s="398"/>
      <c r="N77" s="398"/>
      <c r="O77" s="398"/>
      <c r="P77" s="398"/>
      <c r="Q77" s="398"/>
      <c r="R77" s="398"/>
      <c r="S77" s="398"/>
      <c r="T77" s="398"/>
      <c r="U77" s="399"/>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BA77" s="113" t="str">
        <f>D77</f>
        <v>Explain here (e.g. emission factors if calculated)</v>
      </c>
    </row>
    <row r="78" spans="1:53" ht="21" customHeight="1" x14ac:dyDescent="0.25">
      <c r="A78" s="205"/>
      <c r="B78" s="388" t="s">
        <v>233</v>
      </c>
      <c r="C78" s="389"/>
      <c r="D78" s="389"/>
      <c r="E78" s="389"/>
      <c r="F78" s="389"/>
      <c r="G78" s="389"/>
      <c r="H78" s="389"/>
      <c r="I78" s="389"/>
      <c r="J78" s="389"/>
      <c r="K78" s="389"/>
      <c r="L78" s="389"/>
      <c r="M78" s="389"/>
      <c r="N78" s="389"/>
      <c r="O78" s="389"/>
      <c r="P78" s="389"/>
      <c r="Q78" s="389"/>
      <c r="R78" s="389"/>
      <c r="S78" s="389"/>
      <c r="T78" s="389"/>
      <c r="U78" s="390"/>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row>
    <row r="79" spans="1:53" ht="15.75" customHeight="1" x14ac:dyDescent="0.25">
      <c r="A79" s="205"/>
      <c r="B79" s="360" t="s">
        <v>234</v>
      </c>
      <c r="C79" s="361"/>
      <c r="D79" s="391" t="s">
        <v>195</v>
      </c>
      <c r="E79" s="392"/>
      <c r="F79" s="393"/>
      <c r="G79" s="325" t="s">
        <v>196</v>
      </c>
      <c r="H79" s="325"/>
      <c r="I79" s="325"/>
      <c r="J79" s="325"/>
      <c r="K79" s="325"/>
      <c r="L79" s="350">
        <v>2030</v>
      </c>
      <c r="M79" s="350"/>
      <c r="N79" s="350"/>
      <c r="O79" s="350"/>
      <c r="P79" s="350"/>
      <c r="Q79" s="325">
        <v>2050</v>
      </c>
      <c r="R79" s="325"/>
      <c r="S79" s="325"/>
      <c r="T79" s="325"/>
      <c r="U79" s="325"/>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row>
    <row r="80" spans="1:53" x14ac:dyDescent="0.25">
      <c r="A80" s="205"/>
      <c r="B80" s="362"/>
      <c r="C80" s="363"/>
      <c r="D80" s="394"/>
      <c r="E80" s="395"/>
      <c r="F80" s="396"/>
      <c r="G80" s="203" t="s">
        <v>187</v>
      </c>
      <c r="H80" s="203" t="s">
        <v>188</v>
      </c>
      <c r="I80" s="203" t="s">
        <v>189</v>
      </c>
      <c r="J80" s="203" t="s">
        <v>190</v>
      </c>
      <c r="K80" s="203" t="s">
        <v>191</v>
      </c>
      <c r="L80" s="202" t="s">
        <v>187</v>
      </c>
      <c r="M80" s="202" t="s">
        <v>188</v>
      </c>
      <c r="N80" s="202" t="s">
        <v>189</v>
      </c>
      <c r="O80" s="202" t="s">
        <v>190</v>
      </c>
      <c r="P80" s="202" t="s">
        <v>191</v>
      </c>
      <c r="Q80" s="203" t="s">
        <v>187</v>
      </c>
      <c r="R80" s="203" t="s">
        <v>188</v>
      </c>
      <c r="S80" s="203" t="s">
        <v>189</v>
      </c>
      <c r="T80" s="203" t="s">
        <v>190</v>
      </c>
      <c r="U80" s="203" t="s">
        <v>191</v>
      </c>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row>
    <row r="81" spans="1:53" x14ac:dyDescent="0.25">
      <c r="A81" s="205"/>
      <c r="B81" s="401" t="s">
        <v>235</v>
      </c>
      <c r="C81" s="402"/>
      <c r="D81" s="341" t="s">
        <v>203</v>
      </c>
      <c r="E81" s="341"/>
      <c r="F81" s="341"/>
      <c r="G81" s="98"/>
      <c r="H81" s="107"/>
      <c r="I81" s="107"/>
      <c r="J81" s="107"/>
      <c r="K81" s="107"/>
      <c r="L81" s="98"/>
      <c r="M81" s="107"/>
      <c r="N81" s="107"/>
      <c r="O81" s="107"/>
      <c r="P81" s="107"/>
      <c r="Q81" s="98"/>
      <c r="R81" s="107"/>
      <c r="S81" s="107"/>
      <c r="T81" s="107"/>
      <c r="U81" s="107"/>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row>
    <row r="82" spans="1:53" x14ac:dyDescent="0.25">
      <c r="A82" s="205"/>
      <c r="B82" s="403"/>
      <c r="C82" s="404"/>
      <c r="D82" s="341"/>
      <c r="E82" s="341"/>
      <c r="F82" s="341"/>
      <c r="G82" s="109" t="s">
        <v>193</v>
      </c>
      <c r="H82" s="108" t="s">
        <v>193</v>
      </c>
      <c r="I82" s="108" t="s">
        <v>193</v>
      </c>
      <c r="J82" s="108" t="s">
        <v>193</v>
      </c>
      <c r="K82" s="108" t="s">
        <v>193</v>
      </c>
      <c r="L82" s="109" t="s">
        <v>193</v>
      </c>
      <c r="M82" s="108" t="s">
        <v>193</v>
      </c>
      <c r="N82" s="108" t="s">
        <v>193</v>
      </c>
      <c r="O82" s="108" t="s">
        <v>193</v>
      </c>
      <c r="P82" s="108" t="s">
        <v>193</v>
      </c>
      <c r="Q82" s="109" t="s">
        <v>193</v>
      </c>
      <c r="R82" s="108" t="s">
        <v>193</v>
      </c>
      <c r="S82" s="108" t="s">
        <v>193</v>
      </c>
      <c r="T82" s="108" t="s">
        <v>193</v>
      </c>
      <c r="U82" s="108" t="s">
        <v>193</v>
      </c>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row>
    <row r="83" spans="1:53" x14ac:dyDescent="0.25">
      <c r="A83" s="205"/>
      <c r="B83" s="401" t="s">
        <v>235</v>
      </c>
      <c r="C83" s="402"/>
      <c r="D83" s="341" t="s">
        <v>203</v>
      </c>
      <c r="E83" s="341"/>
      <c r="F83" s="341"/>
      <c r="G83" s="98"/>
      <c r="H83" s="107"/>
      <c r="I83" s="107"/>
      <c r="J83" s="107"/>
      <c r="K83" s="107"/>
      <c r="L83" s="98"/>
      <c r="M83" s="107"/>
      <c r="N83" s="107"/>
      <c r="O83" s="107"/>
      <c r="P83" s="107"/>
      <c r="Q83" s="98"/>
      <c r="R83" s="107"/>
      <c r="S83" s="107"/>
      <c r="T83" s="107"/>
      <c r="U83" s="107"/>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row>
    <row r="84" spans="1:53" x14ac:dyDescent="0.25">
      <c r="A84" s="205"/>
      <c r="B84" s="403"/>
      <c r="C84" s="404"/>
      <c r="D84" s="341"/>
      <c r="E84" s="341"/>
      <c r="F84" s="341"/>
      <c r="G84" s="108" t="s">
        <v>193</v>
      </c>
      <c r="H84" s="108" t="s">
        <v>193</v>
      </c>
      <c r="I84" s="108" t="s">
        <v>193</v>
      </c>
      <c r="J84" s="108" t="s">
        <v>193</v>
      </c>
      <c r="K84" s="108" t="s">
        <v>193</v>
      </c>
      <c r="L84" s="108" t="s">
        <v>193</v>
      </c>
      <c r="M84" s="108" t="s">
        <v>193</v>
      </c>
      <c r="N84" s="108" t="s">
        <v>193</v>
      </c>
      <c r="O84" s="108" t="s">
        <v>193</v>
      </c>
      <c r="P84" s="108" t="s">
        <v>193</v>
      </c>
      <c r="Q84" s="108" t="s">
        <v>193</v>
      </c>
      <c r="R84" s="108" t="s">
        <v>193</v>
      </c>
      <c r="S84" s="108" t="s">
        <v>193</v>
      </c>
      <c r="T84" s="108" t="s">
        <v>193</v>
      </c>
      <c r="U84" s="108" t="s">
        <v>193</v>
      </c>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row>
    <row r="85" spans="1:53" x14ac:dyDescent="0.25">
      <c r="A85" s="205"/>
      <c r="B85" s="401" t="s">
        <v>235</v>
      </c>
      <c r="C85" s="402"/>
      <c r="D85" s="341" t="s">
        <v>203</v>
      </c>
      <c r="E85" s="341"/>
      <c r="F85" s="341"/>
      <c r="G85" s="98"/>
      <c r="H85" s="107"/>
      <c r="I85" s="107"/>
      <c r="J85" s="107"/>
      <c r="K85" s="107"/>
      <c r="L85" s="98"/>
      <c r="M85" s="107"/>
      <c r="N85" s="107"/>
      <c r="O85" s="107"/>
      <c r="P85" s="107"/>
      <c r="Q85" s="98"/>
      <c r="R85" s="107"/>
      <c r="S85" s="107"/>
      <c r="T85" s="107"/>
      <c r="U85" s="107"/>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row>
    <row r="86" spans="1:53" x14ac:dyDescent="0.25">
      <c r="A86" s="205"/>
      <c r="B86" s="403"/>
      <c r="C86" s="404"/>
      <c r="D86" s="341"/>
      <c r="E86" s="341"/>
      <c r="F86" s="341"/>
      <c r="G86" s="108" t="s">
        <v>193</v>
      </c>
      <c r="H86" s="108" t="s">
        <v>193</v>
      </c>
      <c r="I86" s="108" t="s">
        <v>193</v>
      </c>
      <c r="J86" s="108" t="s">
        <v>193</v>
      </c>
      <c r="K86" s="108" t="s">
        <v>193</v>
      </c>
      <c r="L86" s="108" t="s">
        <v>193</v>
      </c>
      <c r="M86" s="108" t="s">
        <v>193</v>
      </c>
      <c r="N86" s="108" t="s">
        <v>193</v>
      </c>
      <c r="O86" s="108" t="s">
        <v>193</v>
      </c>
      <c r="P86" s="108" t="s">
        <v>193</v>
      </c>
      <c r="Q86" s="108" t="s">
        <v>193</v>
      </c>
      <c r="R86" s="108" t="s">
        <v>193</v>
      </c>
      <c r="S86" s="108" t="s">
        <v>193</v>
      </c>
      <c r="T86" s="108" t="s">
        <v>193</v>
      </c>
      <c r="U86" s="108" t="s">
        <v>193</v>
      </c>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row>
    <row r="87" spans="1:53" x14ac:dyDescent="0.25">
      <c r="A87" s="205"/>
      <c r="B87" s="401" t="s">
        <v>235</v>
      </c>
      <c r="C87" s="402"/>
      <c r="D87" s="341" t="s">
        <v>203</v>
      </c>
      <c r="E87" s="341"/>
      <c r="F87" s="341"/>
      <c r="G87" s="98"/>
      <c r="H87" s="107"/>
      <c r="I87" s="107"/>
      <c r="J87" s="107"/>
      <c r="K87" s="107"/>
      <c r="L87" s="98"/>
      <c r="M87" s="107"/>
      <c r="N87" s="107"/>
      <c r="O87" s="107"/>
      <c r="P87" s="107"/>
      <c r="Q87" s="98"/>
      <c r="R87" s="107"/>
      <c r="S87" s="107"/>
      <c r="T87" s="107"/>
      <c r="U87" s="107"/>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row>
    <row r="88" spans="1:53" x14ac:dyDescent="0.25">
      <c r="A88" s="205"/>
      <c r="B88" s="403"/>
      <c r="C88" s="404"/>
      <c r="D88" s="341"/>
      <c r="E88" s="341"/>
      <c r="F88" s="341"/>
      <c r="G88" s="108" t="s">
        <v>193</v>
      </c>
      <c r="H88" s="108" t="s">
        <v>193</v>
      </c>
      <c r="I88" s="108" t="s">
        <v>193</v>
      </c>
      <c r="J88" s="108" t="s">
        <v>193</v>
      </c>
      <c r="K88" s="108" t="s">
        <v>193</v>
      </c>
      <c r="L88" s="108" t="s">
        <v>193</v>
      </c>
      <c r="M88" s="108" t="s">
        <v>193</v>
      </c>
      <c r="N88" s="108" t="s">
        <v>193</v>
      </c>
      <c r="O88" s="108" t="s">
        <v>193</v>
      </c>
      <c r="P88" s="108" t="s">
        <v>193</v>
      </c>
      <c r="Q88" s="108" t="s">
        <v>193</v>
      </c>
      <c r="R88" s="108" t="s">
        <v>193</v>
      </c>
      <c r="S88" s="108" t="s">
        <v>193</v>
      </c>
      <c r="T88" s="108" t="s">
        <v>193</v>
      </c>
      <c r="U88" s="108" t="s">
        <v>193</v>
      </c>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row>
    <row r="89" spans="1:53" ht="36.75" customHeight="1" x14ac:dyDescent="0.25">
      <c r="A89" s="205"/>
      <c r="B89" s="305" t="s">
        <v>205</v>
      </c>
      <c r="C89" s="305"/>
      <c r="D89" s="397" t="s">
        <v>228</v>
      </c>
      <c r="E89" s="398"/>
      <c r="F89" s="398"/>
      <c r="G89" s="398"/>
      <c r="H89" s="398"/>
      <c r="I89" s="398"/>
      <c r="J89" s="398"/>
      <c r="K89" s="398"/>
      <c r="L89" s="398"/>
      <c r="M89" s="398"/>
      <c r="N89" s="398"/>
      <c r="O89" s="398"/>
      <c r="P89" s="398"/>
      <c r="Q89" s="398"/>
      <c r="R89" s="398"/>
      <c r="S89" s="398"/>
      <c r="T89" s="398"/>
      <c r="U89" s="399"/>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row>
    <row r="90" spans="1:53" ht="21" customHeight="1" x14ac:dyDescent="0.25">
      <c r="A90" s="205"/>
      <c r="B90" s="388" t="s">
        <v>130</v>
      </c>
      <c r="C90" s="389"/>
      <c r="D90" s="389"/>
      <c r="E90" s="389"/>
      <c r="F90" s="389"/>
      <c r="G90" s="389"/>
      <c r="H90" s="389"/>
      <c r="I90" s="389"/>
      <c r="J90" s="389"/>
      <c r="K90" s="389"/>
      <c r="L90" s="389"/>
      <c r="M90" s="389"/>
      <c r="N90" s="389"/>
      <c r="O90" s="389"/>
      <c r="P90" s="389"/>
      <c r="Q90" s="389"/>
      <c r="R90" s="389"/>
      <c r="S90" s="389"/>
      <c r="T90" s="389"/>
      <c r="U90" s="390"/>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row>
    <row r="91" spans="1:53" ht="15" customHeight="1" x14ac:dyDescent="0.25">
      <c r="A91" s="205"/>
      <c r="B91" s="86">
        <v>1</v>
      </c>
      <c r="C91" s="405" t="s">
        <v>236</v>
      </c>
      <c r="D91" s="405"/>
      <c r="E91" s="405"/>
      <c r="F91" s="405"/>
      <c r="G91" s="405"/>
      <c r="H91" s="405"/>
      <c r="I91" s="405"/>
      <c r="J91" s="405"/>
      <c r="K91" s="405"/>
      <c r="L91" s="405"/>
      <c r="M91" s="405"/>
      <c r="N91" s="405"/>
      <c r="O91" s="405"/>
      <c r="P91" s="405"/>
      <c r="Q91" s="405"/>
      <c r="R91" s="405"/>
      <c r="S91" s="405"/>
      <c r="T91" s="405"/>
      <c r="U91" s="405"/>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BA91" s="113" t="str">
        <f>C91</f>
        <v>CBS (2018). Hernieuwbare energie in Nederland 2017, oktober 2018 https://www.cbs.nl/nl-nl/publicatie/2018/40/hernieuwbare-energie-in-nederland-2017</v>
      </c>
    </row>
    <row r="92" spans="1:53" ht="15" customHeight="1" x14ac:dyDescent="0.25">
      <c r="A92" s="205"/>
      <c r="B92" s="86">
        <v>2</v>
      </c>
      <c r="C92" s="405" t="s">
        <v>237</v>
      </c>
      <c r="D92" s="405"/>
      <c r="E92" s="405"/>
      <c r="F92" s="405"/>
      <c r="G92" s="405"/>
      <c r="H92" s="405"/>
      <c r="I92" s="405"/>
      <c r="J92" s="405"/>
      <c r="K92" s="405"/>
      <c r="L92" s="405"/>
      <c r="M92" s="405"/>
      <c r="N92" s="405"/>
      <c r="O92" s="405"/>
      <c r="P92" s="405"/>
      <c r="Q92" s="405"/>
      <c r="R92" s="405"/>
      <c r="S92" s="405"/>
      <c r="T92" s="405"/>
      <c r="U92" s="405"/>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BA92" s="113" t="str">
        <f t="shared" ref="BA92:BA101" si="0">C92</f>
        <v>FhG-ISE (2015). Current and Future Cost of Photovoltaics Long-term Scenarios for Market Development, System Prices and LCOE of Utility-Scale PV Systems, Fraunhofer-Institute for Solar Energy Systems (ISE), Johannes N. Mayer et al. (2015) https://www.ise.fraunhofer.de/content/dam/ise/de/documents/publications/studies/AgoraEnergiewende_Current_and_Future_Cost_of_PV_Feb2015_web.pdf</v>
      </c>
    </row>
    <row r="93" spans="1:53" ht="15" customHeight="1" x14ac:dyDescent="0.25">
      <c r="A93" s="205"/>
      <c r="B93" s="86">
        <v>3</v>
      </c>
      <c r="C93" s="405" t="s">
        <v>238</v>
      </c>
      <c r="D93" s="405"/>
      <c r="E93" s="405"/>
      <c r="F93" s="405"/>
      <c r="G93" s="405"/>
      <c r="H93" s="405"/>
      <c r="I93" s="405"/>
      <c r="J93" s="405"/>
      <c r="K93" s="405"/>
      <c r="L93" s="405"/>
      <c r="M93" s="405"/>
      <c r="N93" s="405"/>
      <c r="O93" s="405"/>
      <c r="P93" s="405"/>
      <c r="Q93" s="405"/>
      <c r="R93" s="405"/>
      <c r="S93" s="405"/>
      <c r="T93" s="405"/>
      <c r="U93" s="405"/>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BA93" s="113" t="str">
        <f t="shared" si="0"/>
        <v>Gasunie (2018). Verkenning 2050.</v>
      </c>
    </row>
    <row r="94" spans="1:53" ht="15" customHeight="1" x14ac:dyDescent="0.25">
      <c r="A94" s="205"/>
      <c r="B94" s="86">
        <v>4</v>
      </c>
      <c r="C94" s="405" t="s">
        <v>239</v>
      </c>
      <c r="D94" s="405"/>
      <c r="E94" s="405"/>
      <c r="F94" s="405"/>
      <c r="G94" s="405"/>
      <c r="H94" s="405"/>
      <c r="I94" s="405"/>
      <c r="J94" s="405"/>
      <c r="K94" s="405"/>
      <c r="L94" s="405"/>
      <c r="M94" s="405"/>
      <c r="N94" s="405"/>
      <c r="O94" s="405"/>
      <c r="P94" s="405"/>
      <c r="Q94" s="405"/>
      <c r="R94" s="405"/>
      <c r="S94" s="405"/>
      <c r="T94" s="405"/>
      <c r="U94" s="405"/>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BA94" s="113" t="str">
        <f t="shared" si="0"/>
        <v>PBL (2014). Het potentieel van zonnestroom in de gebouwde omgeving van Nederland. https://www.pbl.nl/publicaties/het-potentieel-van-zonnestroom-in-de-gebouwde-omgeving-van-nederland</v>
      </c>
    </row>
    <row r="95" spans="1:53" ht="15" customHeight="1" x14ac:dyDescent="0.25">
      <c r="A95" s="205"/>
      <c r="B95" s="86">
        <v>5</v>
      </c>
      <c r="C95" s="407" t="s">
        <v>240</v>
      </c>
      <c r="D95" s="408"/>
      <c r="E95" s="408"/>
      <c r="F95" s="408"/>
      <c r="G95" s="408"/>
      <c r="H95" s="408"/>
      <c r="I95" s="408"/>
      <c r="J95" s="408"/>
      <c r="K95" s="408"/>
      <c r="L95" s="408"/>
      <c r="M95" s="408"/>
      <c r="N95" s="408"/>
      <c r="O95" s="408"/>
      <c r="P95" s="408"/>
      <c r="Q95" s="408"/>
      <c r="R95" s="408"/>
      <c r="S95" s="408"/>
      <c r="T95" s="408"/>
      <c r="U95" s="409"/>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BA95" s="113" t="str">
        <f t="shared" si="0"/>
        <v>PBL (2018). Eindadvies Basisbedragen SDE+ 2019, december 2018, Sander Lensink (editor), https://www.pbl.nl/publicaties/eindadvies-basisbedragen-sde-2019</v>
      </c>
    </row>
    <row r="96" spans="1:53" ht="15" customHeight="1" x14ac:dyDescent="0.25">
      <c r="A96" s="205"/>
      <c r="B96" s="86">
        <v>6</v>
      </c>
      <c r="C96" s="405" t="s">
        <v>241</v>
      </c>
      <c r="D96" s="405"/>
      <c r="E96" s="405"/>
      <c r="F96" s="405"/>
      <c r="G96" s="405"/>
      <c r="H96" s="405"/>
      <c r="I96" s="405"/>
      <c r="J96" s="405"/>
      <c r="K96" s="405"/>
      <c r="L96" s="405"/>
      <c r="M96" s="405"/>
      <c r="N96" s="405"/>
      <c r="O96" s="405"/>
      <c r="P96" s="405"/>
      <c r="Q96" s="405"/>
      <c r="R96" s="405"/>
      <c r="S96" s="405"/>
      <c r="T96" s="405"/>
      <c r="U96" s="405"/>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BA96" s="113" t="e">
        <f>#REF!</f>
        <v>#REF!</v>
      </c>
    </row>
    <row r="97" spans="1:53" ht="15.75" customHeight="1" x14ac:dyDescent="0.25">
      <c r="A97" s="205"/>
      <c r="B97" s="86">
        <v>7</v>
      </c>
      <c r="C97" s="407"/>
      <c r="D97" s="408"/>
      <c r="E97" s="408"/>
      <c r="F97" s="408"/>
      <c r="G97" s="408"/>
      <c r="H97" s="408"/>
      <c r="I97" s="408"/>
      <c r="J97" s="408"/>
      <c r="K97" s="408"/>
      <c r="L97" s="408"/>
      <c r="M97" s="408"/>
      <c r="N97" s="408"/>
      <c r="O97" s="408"/>
      <c r="P97" s="408"/>
      <c r="Q97" s="408"/>
      <c r="R97" s="408"/>
      <c r="S97" s="408"/>
      <c r="T97" s="408"/>
      <c r="U97" s="409"/>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BA97" s="113" t="str">
        <f>C96</f>
        <v>PBL (2019). Conceptadvies basisbedragen SDE+ 2020, april 2019, https://www.pbl.nl/publicaties/conceptadvies-zonne-energie-sde-2020</v>
      </c>
    </row>
    <row r="98" spans="1:53" x14ac:dyDescent="0.25">
      <c r="A98" s="205"/>
      <c r="B98" s="86">
        <v>8</v>
      </c>
      <c r="C98" s="405"/>
      <c r="D98" s="405"/>
      <c r="E98" s="405"/>
      <c r="F98" s="405"/>
      <c r="G98" s="405"/>
      <c r="H98" s="405"/>
      <c r="I98" s="405"/>
      <c r="J98" s="405"/>
      <c r="K98" s="405"/>
      <c r="L98" s="405"/>
      <c r="M98" s="405"/>
      <c r="N98" s="405"/>
      <c r="O98" s="405"/>
      <c r="P98" s="405"/>
      <c r="Q98" s="405"/>
      <c r="R98" s="405"/>
      <c r="S98" s="405"/>
      <c r="T98" s="405"/>
      <c r="U98" s="405"/>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BA98" s="113">
        <f t="shared" si="0"/>
        <v>0</v>
      </c>
    </row>
    <row r="99" spans="1:53" x14ac:dyDescent="0.25">
      <c r="A99" s="205"/>
      <c r="B99" s="86">
        <v>9</v>
      </c>
      <c r="C99" s="405"/>
      <c r="D99" s="405"/>
      <c r="E99" s="405"/>
      <c r="F99" s="405"/>
      <c r="G99" s="405"/>
      <c r="H99" s="405"/>
      <c r="I99" s="405"/>
      <c r="J99" s="405"/>
      <c r="K99" s="405"/>
      <c r="L99" s="405"/>
      <c r="M99" s="405"/>
      <c r="N99" s="405"/>
      <c r="O99" s="405"/>
      <c r="P99" s="405"/>
      <c r="Q99" s="405"/>
      <c r="R99" s="405"/>
      <c r="S99" s="405"/>
      <c r="T99" s="405"/>
      <c r="U99" s="405"/>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BA99" s="113">
        <f t="shared" si="0"/>
        <v>0</v>
      </c>
    </row>
    <row r="100" spans="1:53" x14ac:dyDescent="0.25">
      <c r="A100" s="205"/>
      <c r="B100" s="86">
        <v>10</v>
      </c>
      <c r="C100" s="405"/>
      <c r="D100" s="405"/>
      <c r="E100" s="405"/>
      <c r="F100" s="405"/>
      <c r="G100" s="405"/>
      <c r="H100" s="405"/>
      <c r="I100" s="405"/>
      <c r="J100" s="405"/>
      <c r="K100" s="405"/>
      <c r="L100" s="405"/>
      <c r="M100" s="405"/>
      <c r="N100" s="405"/>
      <c r="O100" s="405"/>
      <c r="P100" s="405"/>
      <c r="Q100" s="405"/>
      <c r="R100" s="405"/>
      <c r="S100" s="405"/>
      <c r="T100" s="405"/>
      <c r="U100" s="405"/>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BA100" s="113">
        <f t="shared" si="0"/>
        <v>0</v>
      </c>
    </row>
    <row r="101" spans="1:53" x14ac:dyDescent="0.25">
      <c r="A101" s="205"/>
      <c r="B101" s="406" t="s">
        <v>242</v>
      </c>
      <c r="C101" s="405" t="s">
        <v>243</v>
      </c>
      <c r="D101" s="405"/>
      <c r="E101" s="405"/>
      <c r="F101" s="405"/>
      <c r="G101" s="405"/>
      <c r="H101" s="405"/>
      <c r="I101" s="405"/>
      <c r="J101" s="405"/>
      <c r="K101" s="405"/>
      <c r="L101" s="405"/>
      <c r="M101" s="405"/>
      <c r="N101" s="405"/>
      <c r="O101" s="405"/>
      <c r="P101" s="405"/>
      <c r="Q101" s="405"/>
      <c r="R101" s="405"/>
      <c r="S101" s="405"/>
      <c r="T101" s="405"/>
      <c r="U101" s="405"/>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BA101" s="113" t="str">
        <f t="shared" si="0"/>
        <v>Add other sources here</v>
      </c>
    </row>
    <row r="102" spans="1:53" x14ac:dyDescent="0.25">
      <c r="A102" s="205"/>
      <c r="B102" s="406"/>
      <c r="C102" s="405"/>
      <c r="D102" s="405"/>
      <c r="E102" s="405"/>
      <c r="F102" s="405"/>
      <c r="G102" s="405"/>
      <c r="H102" s="405"/>
      <c r="I102" s="405"/>
      <c r="J102" s="405"/>
      <c r="K102" s="405"/>
      <c r="L102" s="405"/>
      <c r="M102" s="405"/>
      <c r="N102" s="405"/>
      <c r="O102" s="405"/>
      <c r="P102" s="405"/>
      <c r="Q102" s="405"/>
      <c r="R102" s="405"/>
      <c r="S102" s="405"/>
      <c r="T102" s="405"/>
      <c r="U102" s="405"/>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row>
    <row r="103" spans="1:53" x14ac:dyDescent="0.25">
      <c r="A103" s="205"/>
      <c r="B103" s="406"/>
      <c r="C103" s="405"/>
      <c r="D103" s="405"/>
      <c r="E103" s="405"/>
      <c r="F103" s="405"/>
      <c r="G103" s="405"/>
      <c r="H103" s="405"/>
      <c r="I103" s="405"/>
      <c r="J103" s="405"/>
      <c r="K103" s="405"/>
      <c r="L103" s="405"/>
      <c r="M103" s="405"/>
      <c r="N103" s="405"/>
      <c r="O103" s="405"/>
      <c r="P103" s="405"/>
      <c r="Q103" s="405"/>
      <c r="R103" s="405"/>
      <c r="S103" s="405"/>
      <c r="T103" s="405"/>
      <c r="U103" s="405"/>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row>
  </sheetData>
  <mergeCells count="147">
    <mergeCell ref="C98:U98"/>
    <mergeCell ref="C99:U99"/>
    <mergeCell ref="C100:U100"/>
    <mergeCell ref="B101:B103"/>
    <mergeCell ref="C101:U103"/>
    <mergeCell ref="C92:U92"/>
    <mergeCell ref="C93:U93"/>
    <mergeCell ref="C94:U94"/>
    <mergeCell ref="C95:U95"/>
    <mergeCell ref="C96:U96"/>
    <mergeCell ref="C97:U97"/>
    <mergeCell ref="B87:C88"/>
    <mergeCell ref="D87:F88"/>
    <mergeCell ref="B89:C89"/>
    <mergeCell ref="D89:U89"/>
    <mergeCell ref="B90:U90"/>
    <mergeCell ref="C91:U91"/>
    <mergeCell ref="B81:C82"/>
    <mergeCell ref="D81:F82"/>
    <mergeCell ref="B83:C84"/>
    <mergeCell ref="D83:F84"/>
    <mergeCell ref="B85:C86"/>
    <mergeCell ref="D85:F86"/>
    <mergeCell ref="B78:U78"/>
    <mergeCell ref="B79:C80"/>
    <mergeCell ref="D79:F80"/>
    <mergeCell ref="G79:K79"/>
    <mergeCell ref="L79:P79"/>
    <mergeCell ref="Q79:U79"/>
    <mergeCell ref="D73:E74"/>
    <mergeCell ref="F73:F74"/>
    <mergeCell ref="D75:E76"/>
    <mergeCell ref="F75:F76"/>
    <mergeCell ref="B77:C77"/>
    <mergeCell ref="D77:U77"/>
    <mergeCell ref="B67:C76"/>
    <mergeCell ref="D67:E68"/>
    <mergeCell ref="F67:F68"/>
    <mergeCell ref="G67:K67"/>
    <mergeCell ref="L67:P67"/>
    <mergeCell ref="Q67:U67"/>
    <mergeCell ref="D69:E70"/>
    <mergeCell ref="F69:F70"/>
    <mergeCell ref="D71:E72"/>
    <mergeCell ref="F71:F72"/>
    <mergeCell ref="F61:F62"/>
    <mergeCell ref="D63:E64"/>
    <mergeCell ref="F63:F64"/>
    <mergeCell ref="B65:C65"/>
    <mergeCell ref="D65:U65"/>
    <mergeCell ref="B66:U66"/>
    <mergeCell ref="B57:C57"/>
    <mergeCell ref="D57:U57"/>
    <mergeCell ref="B58:U58"/>
    <mergeCell ref="B59:C64"/>
    <mergeCell ref="D59:E60"/>
    <mergeCell ref="F59:F60"/>
    <mergeCell ref="G59:K59"/>
    <mergeCell ref="L59:P59"/>
    <mergeCell ref="Q59:U59"/>
    <mergeCell ref="D61:E62"/>
    <mergeCell ref="B49:C56"/>
    <mergeCell ref="D49:E50"/>
    <mergeCell ref="F49:F50"/>
    <mergeCell ref="D51:E52"/>
    <mergeCell ref="F51:F52"/>
    <mergeCell ref="D53:E54"/>
    <mergeCell ref="F53:F54"/>
    <mergeCell ref="D55:E56"/>
    <mergeCell ref="F55:F56"/>
    <mergeCell ref="B47:C48"/>
    <mergeCell ref="D47:E48"/>
    <mergeCell ref="F47:F48"/>
    <mergeCell ref="G47:K47"/>
    <mergeCell ref="L47:P47"/>
    <mergeCell ref="Q47:U47"/>
    <mergeCell ref="B43:C44"/>
    <mergeCell ref="D43:D44"/>
    <mergeCell ref="E43:F44"/>
    <mergeCell ref="B45:C45"/>
    <mergeCell ref="D45:U45"/>
    <mergeCell ref="B46:U46"/>
    <mergeCell ref="B39:C40"/>
    <mergeCell ref="D39:D40"/>
    <mergeCell ref="E39:F40"/>
    <mergeCell ref="B41:C42"/>
    <mergeCell ref="D41:D42"/>
    <mergeCell ref="E41:F42"/>
    <mergeCell ref="B34:U34"/>
    <mergeCell ref="B35:F36"/>
    <mergeCell ref="G35:K35"/>
    <mergeCell ref="L35:P35"/>
    <mergeCell ref="Q35:U35"/>
    <mergeCell ref="B37:C38"/>
    <mergeCell ref="D37:D38"/>
    <mergeCell ref="E37:F38"/>
    <mergeCell ref="B31:C31"/>
    <mergeCell ref="D31:K31"/>
    <mergeCell ref="B32:C32"/>
    <mergeCell ref="D32:K32"/>
    <mergeCell ref="B33:C33"/>
    <mergeCell ref="D33:K33"/>
    <mergeCell ref="B28:C28"/>
    <mergeCell ref="D28:K28"/>
    <mergeCell ref="B29:C29"/>
    <mergeCell ref="D29:K29"/>
    <mergeCell ref="B30:C30"/>
    <mergeCell ref="D30:K30"/>
    <mergeCell ref="B24:C25"/>
    <mergeCell ref="D24:E25"/>
    <mergeCell ref="F24:F25"/>
    <mergeCell ref="B26:C26"/>
    <mergeCell ref="D26:K26"/>
    <mergeCell ref="B27:C27"/>
    <mergeCell ref="D27:K27"/>
    <mergeCell ref="G20:K20"/>
    <mergeCell ref="L20:P20"/>
    <mergeCell ref="Q20:U20"/>
    <mergeCell ref="B21:C23"/>
    <mergeCell ref="D21:E23"/>
    <mergeCell ref="F21:F23"/>
    <mergeCell ref="B17:C17"/>
    <mergeCell ref="D17:F17"/>
    <mergeCell ref="B18:C19"/>
    <mergeCell ref="D18:F19"/>
    <mergeCell ref="B20:C20"/>
    <mergeCell ref="D20:E20"/>
    <mergeCell ref="B14:K14"/>
    <mergeCell ref="B15:C16"/>
    <mergeCell ref="D15:K16"/>
    <mergeCell ref="B9:C9"/>
    <mergeCell ref="D9:K9"/>
    <mergeCell ref="B10:C10"/>
    <mergeCell ref="D10:K10"/>
    <mergeCell ref="B11:C11"/>
    <mergeCell ref="D11:K11"/>
    <mergeCell ref="B4:K4"/>
    <mergeCell ref="B5:C5"/>
    <mergeCell ref="D5:K5"/>
    <mergeCell ref="B6:C6"/>
    <mergeCell ref="D6:K6"/>
    <mergeCell ref="B7:C8"/>
    <mergeCell ref="D7:K7"/>
    <mergeCell ref="D8:K8"/>
    <mergeCell ref="B12:C13"/>
    <mergeCell ref="D12:K12"/>
    <mergeCell ref="D13:K13"/>
  </mergeCells>
  <conditionalFormatting sqref="D7">
    <cfRule type="containsText" dxfId="654" priority="185" operator="containsText" text="Please select">
      <formula>NOT(ISERROR(SEARCH("Please select",D7)))</formula>
    </cfRule>
  </conditionalFormatting>
  <conditionalFormatting sqref="D8 L8:O8">
    <cfRule type="containsText" dxfId="653" priority="184" operator="containsText" text="Other (specify here)">
      <formula>NOT(ISERROR(SEARCH("Other (specify here)",D8)))</formula>
    </cfRule>
  </conditionalFormatting>
  <conditionalFormatting sqref="D9">
    <cfRule type="containsText" dxfId="652" priority="183" operator="containsText" text="Please select">
      <formula>NOT(ISERROR(SEARCH("Please select",D9)))</formula>
    </cfRule>
  </conditionalFormatting>
  <conditionalFormatting sqref="L10:O10">
    <cfRule type="containsText" dxfId="651" priority="182" operator="containsText" text="Specify here">
      <formula>NOT(ISERROR(SEARCH("Specify here",L10)))</formula>
    </cfRule>
  </conditionalFormatting>
  <conditionalFormatting sqref="L11:O11">
    <cfRule type="containsText" dxfId="650" priority="181" operator="containsText" text="Specify here">
      <formula>NOT(ISERROR(SEARCH("Specify here",L11)))</formula>
    </cfRule>
  </conditionalFormatting>
  <conditionalFormatting sqref="D6 L6:O6">
    <cfRule type="containsText" dxfId="649" priority="180" operator="containsText" text="DD-MM-YYYY">
      <formula>NOT(ISERROR(SEARCH("DD-MM-YYYY",D6)))</formula>
    </cfRule>
  </conditionalFormatting>
  <conditionalFormatting sqref="D12 L12:O12">
    <cfRule type="containsText" dxfId="648" priority="177" operator="containsText" text="Select the observed or expected TRL level in 2020">
      <formula>NOT(ISERROR(SEARCH("Select the observed or expected TRL level in 2020",D12)))</formula>
    </cfRule>
    <cfRule type="containsText" dxfId="647" priority="179" operator="containsText" text="Specify here the observed or expected TRL level in 2020">
      <formula>NOT(ISERROR(SEARCH("Specify here the observed or expected TRL level in 2020",D12)))</formula>
    </cfRule>
  </conditionalFormatting>
  <conditionalFormatting sqref="D13 L13:O13">
    <cfRule type="containsText" dxfId="646" priority="178" operator="containsText" text="Explain here">
      <formula>NOT(ISERROR(SEARCH("Explain here",D13)))</formula>
    </cfRule>
  </conditionalFormatting>
  <conditionalFormatting sqref="D32 D30">
    <cfRule type="containsText" dxfId="645" priority="176" operator="containsText" text="Please select">
      <formula>NOT(ISERROR(SEARCH("Please select",D30)))</formula>
    </cfRule>
  </conditionalFormatting>
  <conditionalFormatting sqref="D30 L30:O30">
    <cfRule type="containsText" dxfId="644" priority="175" operator="containsText" text="Specify here">
      <formula>NOT(ISERROR(SEARCH("Specify here",D30)))</formula>
    </cfRule>
  </conditionalFormatting>
  <conditionalFormatting sqref="L27:O28">
    <cfRule type="containsText" dxfId="643" priority="174" operator="containsText" text="Specify here">
      <formula>NOT(ISERROR(SEARCH("Specify here",L27)))</formula>
    </cfRule>
  </conditionalFormatting>
  <conditionalFormatting sqref="L26:O28">
    <cfRule type="containsText" dxfId="642" priority="173" operator="containsText" text="Specify here">
      <formula>NOT(ISERROR(SEARCH("Specify here",L26)))</formula>
    </cfRule>
  </conditionalFormatting>
  <conditionalFormatting sqref="L31:O31">
    <cfRule type="containsText" dxfId="641" priority="172" operator="containsText" text="Specify here">
      <formula>NOT(ISERROR(SEARCH("Specify here",L31)))</formula>
    </cfRule>
  </conditionalFormatting>
  <conditionalFormatting sqref="D33 L33:O33">
    <cfRule type="containsText" dxfId="640" priority="171"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L5:O5">
    <cfRule type="containsText" dxfId="639" priority="170" operator="containsText" text="Specify technology option name here">
      <formula>NOT(ISERROR(SEARCH("Specify technology option name here",L5)))</formula>
    </cfRule>
  </conditionalFormatting>
  <conditionalFormatting sqref="D18">
    <cfRule type="containsText" dxfId="638" priority="169" operator="containsText" text="Select Functional Unit above">
      <formula>NOT(ISERROR(SEARCH("Select Functional Unit above",D18)))</formula>
    </cfRule>
  </conditionalFormatting>
  <conditionalFormatting sqref="D49">
    <cfRule type="containsText" dxfId="637" priority="168" operator="containsText" text="Select">
      <formula>NOT(ISERROR(SEARCH("Select",D49)))</formula>
    </cfRule>
  </conditionalFormatting>
  <conditionalFormatting sqref="D71">
    <cfRule type="containsText" dxfId="636" priority="159" operator="containsText" text="Select">
      <formula>NOT(ISERROR(SEARCH("Select",D71)))</formula>
    </cfRule>
  </conditionalFormatting>
  <conditionalFormatting sqref="D73">
    <cfRule type="containsText" dxfId="635" priority="158" operator="containsText" text="Select">
      <formula>NOT(ISERROR(SEARCH("Select",D73)))</formula>
    </cfRule>
  </conditionalFormatting>
  <conditionalFormatting sqref="D51">
    <cfRule type="containsText" dxfId="634" priority="167" operator="containsText" text="Select">
      <formula>NOT(ISERROR(SEARCH("Select",D51)))</formula>
    </cfRule>
  </conditionalFormatting>
  <conditionalFormatting sqref="D75">
    <cfRule type="containsText" dxfId="633" priority="157" operator="containsText" text="Select">
      <formula>NOT(ISERROR(SEARCH("Select",D75)))</formula>
    </cfRule>
  </conditionalFormatting>
  <conditionalFormatting sqref="D53">
    <cfRule type="containsText" dxfId="632" priority="166" operator="containsText" text="Select">
      <formula>NOT(ISERROR(SEARCH("Select",D53)))</formula>
    </cfRule>
  </conditionalFormatting>
  <conditionalFormatting sqref="D55">
    <cfRule type="containsText" dxfId="631" priority="165" operator="containsText" text="Select">
      <formula>NOT(ISERROR(SEARCH("Select",D55)))</formula>
    </cfRule>
  </conditionalFormatting>
  <conditionalFormatting sqref="F49:F56">
    <cfRule type="containsText" dxfId="630" priority="164" operator="containsText" text="Please select">
      <formula>NOT(ISERROR(SEARCH("Please select",F49)))</formula>
    </cfRule>
  </conditionalFormatting>
  <conditionalFormatting sqref="D57">
    <cfRule type="containsText" dxfId="629" priority="163" operator="containsText" text="Explain here (e.g. flexible in and out)">
      <formula>NOT(ISERROR(SEARCH("Explain here (e.g. flexible in and out)",D57)))</formula>
    </cfRule>
  </conditionalFormatting>
  <conditionalFormatting sqref="D61">
    <cfRule type="containsText" dxfId="628" priority="162" operator="containsText" text="Select">
      <formula>NOT(ISERROR(SEARCH("Select",D61)))</formula>
    </cfRule>
  </conditionalFormatting>
  <conditionalFormatting sqref="D65">
    <cfRule type="containsText" dxfId="627" priority="161" operator="containsText" text="Explain here">
      <formula>NOT(ISERROR(SEARCH("Explain here",D65)))</formula>
    </cfRule>
  </conditionalFormatting>
  <conditionalFormatting sqref="D69">
    <cfRule type="containsText" dxfId="626" priority="160" operator="containsText" text="Select">
      <formula>NOT(ISERROR(SEARCH("Select",D69)))</formula>
    </cfRule>
  </conditionalFormatting>
  <conditionalFormatting sqref="F69:F76">
    <cfRule type="containsText" dxfId="625" priority="156" operator="containsText" text="Please select">
      <formula>NOT(ISERROR(SEARCH("Please select",F69)))</formula>
    </cfRule>
  </conditionalFormatting>
  <conditionalFormatting sqref="D77">
    <cfRule type="containsText" dxfId="624" priority="155" operator="containsText" text="Explain here">
      <formula>NOT(ISERROR(SEARCH("Explain here",D77)))</formula>
    </cfRule>
  </conditionalFormatting>
  <conditionalFormatting sqref="D81">
    <cfRule type="containsText" dxfId="623" priority="154" operator="containsText" text="Specify here">
      <formula>NOT(ISERROR(SEARCH("Specify here",D81)))</formula>
    </cfRule>
  </conditionalFormatting>
  <conditionalFormatting sqref="B91 B96 B93:B94 B98 B100">
    <cfRule type="containsText" dxfId="622" priority="153" operator="containsText" text="Specify data sources and references here">
      <formula>NOT(ISERROR(SEARCH("Specify data sources and references here",B91)))</formula>
    </cfRule>
  </conditionalFormatting>
  <conditionalFormatting sqref="D27">
    <cfRule type="containsText" dxfId="621" priority="152" operator="containsText" text="Please select">
      <formula>NOT(ISERROR(SEARCH("Please select",D27)))</formula>
    </cfRule>
  </conditionalFormatting>
  <conditionalFormatting sqref="D27">
    <cfRule type="containsText" dxfId="620" priority="151" operator="containsText" text="Specify here">
      <formula>NOT(ISERROR(SEARCH("Specify here",D27)))</formula>
    </cfRule>
  </conditionalFormatting>
  <conditionalFormatting sqref="D26:D27">
    <cfRule type="containsText" dxfId="619" priority="150" operator="containsText" text="Specify here (if not specified, value will be 1)">
      <formula>NOT(ISERROR(SEARCH("Specify here (if not specified, value will be 1)",D26)))</formula>
    </cfRule>
  </conditionalFormatting>
  <conditionalFormatting sqref="D31">
    <cfRule type="containsText" dxfId="618" priority="149" operator="containsText" text="Please select">
      <formula>NOT(ISERROR(SEARCH("Please select",D31)))</formula>
    </cfRule>
  </conditionalFormatting>
  <conditionalFormatting sqref="D31">
    <cfRule type="containsText" dxfId="617" priority="148" operator="containsText" text="Specify here">
      <formula>NOT(ISERROR(SEARCH("Specify here",D31)))</formula>
    </cfRule>
  </conditionalFormatting>
  <conditionalFormatting sqref="G44:K44">
    <cfRule type="containsText" dxfId="616" priority="147" operator="containsText" text="Reference">
      <formula>NOT(ISERROR(SEARCH("Reference",G44)))</formula>
    </cfRule>
  </conditionalFormatting>
  <conditionalFormatting sqref="L44:P44">
    <cfRule type="containsText" dxfId="615" priority="146" operator="containsText" text="Reference">
      <formula>NOT(ISERROR(SEARCH("Reference",L44)))</formula>
    </cfRule>
  </conditionalFormatting>
  <conditionalFormatting sqref="Q44:U44">
    <cfRule type="containsText" dxfId="614" priority="145" operator="containsText" text="Reference">
      <formula>NOT(ISERROR(SEARCH("Reference",Q44)))</formula>
    </cfRule>
  </conditionalFormatting>
  <conditionalFormatting sqref="E37">
    <cfRule type="containsText" dxfId="613" priority="144" operator="containsText" text="Please select 'Functional Unit' above">
      <formula>NOT(ISERROR(SEARCH("Please select 'Functional Unit' above",E37)))</formula>
    </cfRule>
  </conditionalFormatting>
  <conditionalFormatting sqref="H52:K52 H54:K54 H56:K56 H50:K50">
    <cfRule type="containsText" dxfId="612" priority="143" operator="containsText" text="Reference">
      <formula>NOT(ISERROR(SEARCH("Reference",H50)))</formula>
    </cfRule>
  </conditionalFormatting>
  <conditionalFormatting sqref="M52:P52 M54:P54 M56:P56 M50:P50">
    <cfRule type="containsText" dxfId="611" priority="142" operator="containsText" text="Reference">
      <formula>NOT(ISERROR(SEARCH("Reference",M50)))</formula>
    </cfRule>
  </conditionalFormatting>
  <conditionalFormatting sqref="R52:U52 R54:U54 R56:U56 R50:U50">
    <cfRule type="containsText" dxfId="610" priority="141" operator="containsText" text="Reference">
      <formula>NOT(ISERROR(SEARCH("Reference",R50)))</formula>
    </cfRule>
  </conditionalFormatting>
  <conditionalFormatting sqref="H72:K72 H74:K74 H76:K76 H70:K70">
    <cfRule type="containsText" dxfId="609" priority="140" operator="containsText" text="Reference">
      <formula>NOT(ISERROR(SEARCH("Reference",H70)))</formula>
    </cfRule>
  </conditionalFormatting>
  <conditionalFormatting sqref="M72:P72 M74:P74 M76:P76 M70:P70">
    <cfRule type="containsText" dxfId="608" priority="139" operator="containsText" text="Reference">
      <formula>NOT(ISERROR(SEARCH("Reference",M70)))</formula>
    </cfRule>
  </conditionalFormatting>
  <conditionalFormatting sqref="R72:U72 R74:U74 R76:U76 R70:U70">
    <cfRule type="containsText" dxfId="607" priority="138" operator="containsText" text="Reference">
      <formula>NOT(ISERROR(SEARCH("Reference",R70)))</formula>
    </cfRule>
  </conditionalFormatting>
  <conditionalFormatting sqref="G64:K64 H62:K62">
    <cfRule type="containsText" dxfId="606" priority="137" operator="containsText" text="Reference">
      <formula>NOT(ISERROR(SEARCH("Reference",G62)))</formula>
    </cfRule>
  </conditionalFormatting>
  <conditionalFormatting sqref="L64:P64 M62:P62">
    <cfRule type="containsText" dxfId="605" priority="136" operator="containsText" text="Reference">
      <formula>NOT(ISERROR(SEARCH("Reference",L62)))</formula>
    </cfRule>
  </conditionalFormatting>
  <conditionalFormatting sqref="Q64:U64 R62:U62">
    <cfRule type="containsText" dxfId="604" priority="135" operator="containsText" text="Reference">
      <formula>NOT(ISERROR(SEARCH("Reference",Q62)))</formula>
    </cfRule>
  </conditionalFormatting>
  <conditionalFormatting sqref="H82:K82">
    <cfRule type="containsText" dxfId="603" priority="134" operator="containsText" text="Reference">
      <formula>NOT(ISERROR(SEARCH("Reference",H82)))</formula>
    </cfRule>
  </conditionalFormatting>
  <conditionalFormatting sqref="M82:P82">
    <cfRule type="containsText" dxfId="602" priority="133" operator="containsText" text="Reference">
      <formula>NOT(ISERROR(SEARCH("Reference",M82)))</formula>
    </cfRule>
  </conditionalFormatting>
  <conditionalFormatting sqref="R82:U82">
    <cfRule type="containsText" dxfId="601" priority="132" operator="containsText" text="Reference">
      <formula>NOT(ISERROR(SEARCH("Reference",R82)))</formula>
    </cfRule>
  </conditionalFormatting>
  <conditionalFormatting sqref="D5">
    <cfRule type="containsText" dxfId="600" priority="131" operator="containsText" text="Please select">
      <formula>NOT(ISERROR(SEARCH("Please select",D5)))</formula>
    </cfRule>
  </conditionalFormatting>
  <conditionalFormatting sqref="D5">
    <cfRule type="containsText" dxfId="599" priority="130" operator="containsText" text="Specify here">
      <formula>NOT(ISERROR(SEARCH("Specify here",D5)))</formula>
    </cfRule>
  </conditionalFormatting>
  <conditionalFormatting sqref="D10">
    <cfRule type="containsText" dxfId="598" priority="129" operator="containsText" text="Please select">
      <formula>NOT(ISERROR(SEARCH("Please select",D10)))</formula>
    </cfRule>
  </conditionalFormatting>
  <conditionalFormatting sqref="D15">
    <cfRule type="containsText" dxfId="597" priority="127" operator="containsText" text="Please select">
      <formula>NOT(ISERROR(SEARCH("Please select",D15)))</formula>
    </cfRule>
    <cfRule type="containsText" dxfId="596" priority="128" operator="containsText" text="Please select 'Functional Unit' above">
      <formula>NOT(ISERROR(SEARCH("Please select 'Functional Unit' above",D15)))</formula>
    </cfRule>
  </conditionalFormatting>
  <conditionalFormatting sqref="D28">
    <cfRule type="containsText" dxfId="595" priority="126" operator="containsText" text="Please select">
      <formula>NOT(ISERROR(SEARCH("Please select",D28)))</formula>
    </cfRule>
  </conditionalFormatting>
  <conditionalFormatting sqref="E39 E43">
    <cfRule type="containsText" dxfId="594" priority="125" operator="containsText" text="Please select 'Functional Unit' above">
      <formula>NOT(ISERROR(SEARCH("Please select 'Functional Unit' above",E39)))</formula>
    </cfRule>
  </conditionalFormatting>
  <conditionalFormatting sqref="G52 G54 G56 G50">
    <cfRule type="containsText" dxfId="593" priority="124" operator="containsText" text="Reference">
      <formula>NOT(ISERROR(SEARCH("Reference",G50)))</formula>
    </cfRule>
  </conditionalFormatting>
  <conditionalFormatting sqref="L52 L54 L56 L50">
    <cfRule type="containsText" dxfId="592" priority="123" operator="containsText" text="Reference">
      <formula>NOT(ISERROR(SEARCH("Reference",L50)))</formula>
    </cfRule>
  </conditionalFormatting>
  <conditionalFormatting sqref="Q52 Q54 Q56 Q50">
    <cfRule type="containsText" dxfId="591" priority="122" operator="containsText" text="Reference">
      <formula>NOT(ISERROR(SEARCH("Reference",Q50)))</formula>
    </cfRule>
  </conditionalFormatting>
  <conditionalFormatting sqref="D63">
    <cfRule type="containsText" dxfId="590" priority="121" operator="containsText" text="Select">
      <formula>NOT(ISERROR(SEARCH("Select",D63)))</formula>
    </cfRule>
  </conditionalFormatting>
  <conditionalFormatting sqref="D61:F64">
    <cfRule type="containsText" dxfId="589" priority="120" operator="containsText" text="Specify here">
      <formula>NOT(ISERROR(SEARCH("Specify here",D61)))</formula>
    </cfRule>
  </conditionalFormatting>
  <conditionalFormatting sqref="G62">
    <cfRule type="containsText" dxfId="588" priority="119" operator="containsText" text="Reference">
      <formula>NOT(ISERROR(SEARCH("Reference",G62)))</formula>
    </cfRule>
  </conditionalFormatting>
  <conditionalFormatting sqref="L62">
    <cfRule type="containsText" dxfId="587" priority="118" operator="containsText" text="Reference">
      <formula>NOT(ISERROR(SEARCH("Reference",L62)))</formula>
    </cfRule>
  </conditionalFormatting>
  <conditionalFormatting sqref="Q62">
    <cfRule type="containsText" dxfId="586" priority="117" operator="containsText" text="Reference">
      <formula>NOT(ISERROR(SEARCH("Reference",Q62)))</formula>
    </cfRule>
  </conditionalFormatting>
  <conditionalFormatting sqref="G72 G74 G76 G70">
    <cfRule type="containsText" dxfId="585" priority="116" operator="containsText" text="Reference">
      <formula>NOT(ISERROR(SEARCH("Reference",G70)))</formula>
    </cfRule>
  </conditionalFormatting>
  <conditionalFormatting sqref="L72 L74 L76 L70">
    <cfRule type="containsText" dxfId="584" priority="115" operator="containsText" text="Reference">
      <formula>NOT(ISERROR(SEARCH("Reference",L70)))</formula>
    </cfRule>
  </conditionalFormatting>
  <conditionalFormatting sqref="Q72 Q74 Q76 Q70">
    <cfRule type="containsText" dxfId="583" priority="114" operator="containsText" text="Reference">
      <formula>NOT(ISERROR(SEARCH("Reference",Q70)))</formula>
    </cfRule>
  </conditionalFormatting>
  <conditionalFormatting sqref="B92 B95 B97 B99">
    <cfRule type="containsText" dxfId="582" priority="113" operator="containsText" text="Specify data sources and references here">
      <formula>NOT(ISERROR(SEARCH("Specify data sources and references here",B92)))</formula>
    </cfRule>
  </conditionalFormatting>
  <conditionalFormatting sqref="C101:U103">
    <cfRule type="containsText" dxfId="581" priority="112" operator="containsText" text="Add other sources here">
      <formula>NOT(ISERROR(SEARCH("Add other sources here",C101)))</formula>
    </cfRule>
  </conditionalFormatting>
  <conditionalFormatting sqref="D21">
    <cfRule type="containsText" dxfId="580" priority="111" operator="containsText" text="Please select the region">
      <formula>NOT(ISERROR(SEARCH("Please select the region",D21)))</formula>
    </cfRule>
  </conditionalFormatting>
  <conditionalFormatting sqref="D24">
    <cfRule type="containsText" dxfId="579" priority="110" operator="containsText" text="Specify here the market">
      <formula>NOT(ISERROR(SEARCH("Specify here the market",D24)))</formula>
    </cfRule>
  </conditionalFormatting>
  <conditionalFormatting sqref="G19:K19">
    <cfRule type="containsText" dxfId="578" priority="109" operator="containsText" text="Reference">
      <formula>NOT(ISERROR(SEARCH("Reference",G19)))</formula>
    </cfRule>
  </conditionalFormatting>
  <conditionalFormatting sqref="G23 J23:K23">
    <cfRule type="containsText" dxfId="577" priority="108" operator="containsText" text="Reference">
      <formula>NOT(ISERROR(SEARCH("Reference",G23)))</formula>
    </cfRule>
  </conditionalFormatting>
  <conditionalFormatting sqref="G25:K25">
    <cfRule type="containsText" dxfId="576" priority="107" operator="containsText" text="Reference">
      <formula>NOT(ISERROR(SEARCH("Reference",G25)))</formula>
    </cfRule>
  </conditionalFormatting>
  <conditionalFormatting sqref="G44:U44 G50:U50 G52:U52 G54:U54 G56:U56 G62:U62 G64:U64 G70:U70 G72:U72 G74:U74 G76:U76 H82:K82 M82:P82 R82:U82">
    <cfRule type="containsText" dxfId="575" priority="106" operator="containsText" text="Reference">
      <formula>NOT(ISERROR(SEARCH("Reference",G44)))</formula>
    </cfRule>
  </conditionalFormatting>
  <conditionalFormatting sqref="L25:P25 N23:P23">
    <cfRule type="containsText" dxfId="574" priority="105" operator="containsText" text="Reference">
      <formula>NOT(ISERROR(SEARCH("Reference",L23)))</formula>
    </cfRule>
  </conditionalFormatting>
  <conditionalFormatting sqref="Q25:U25 S23:U23">
    <cfRule type="containsText" dxfId="573" priority="104" operator="containsText" text="Reference">
      <formula>NOT(ISERROR(SEARCH("Reference",Q23)))</formula>
    </cfRule>
  </conditionalFormatting>
  <conditionalFormatting sqref="L25:U25 N23:P23 S23:U23">
    <cfRule type="containsText" dxfId="572" priority="103" operator="containsText" text="Reference">
      <formula>NOT(ISERROR(SEARCH("Reference",L23)))</formula>
    </cfRule>
  </conditionalFormatting>
  <conditionalFormatting sqref="D29">
    <cfRule type="containsText" dxfId="571" priority="102" operator="containsText" text="Please select">
      <formula>NOT(ISERROR(SEARCH("Please select",D29)))</formula>
    </cfRule>
  </conditionalFormatting>
  <conditionalFormatting sqref="D29">
    <cfRule type="containsText" dxfId="570" priority="101" operator="containsText" text="Specify here">
      <formula>NOT(ISERROR(SEARCH("Specify here",D29)))</formula>
    </cfRule>
  </conditionalFormatting>
  <conditionalFormatting sqref="H84:K84 M84:P84 R84:U84">
    <cfRule type="containsText" dxfId="569" priority="97" operator="containsText" text="Reference">
      <formula>NOT(ISERROR(SEARCH("Reference",H84)))</formula>
    </cfRule>
  </conditionalFormatting>
  <conditionalFormatting sqref="H86:K86 M86:P86 R86:U86">
    <cfRule type="containsText" dxfId="568" priority="93" operator="containsText" text="Reference">
      <formula>NOT(ISERROR(SEARCH("Reference",H86)))</formula>
    </cfRule>
  </conditionalFormatting>
  <conditionalFormatting sqref="H88:K88 M88:P88 R88:U88">
    <cfRule type="containsText" dxfId="567" priority="89" operator="containsText" text="Reference">
      <formula>NOT(ISERROR(SEARCH("Reference",H88)))</formula>
    </cfRule>
  </conditionalFormatting>
  <conditionalFormatting sqref="H84:K84">
    <cfRule type="containsText" dxfId="566" priority="100" operator="containsText" text="Reference">
      <formula>NOT(ISERROR(SEARCH("Reference",H84)))</formula>
    </cfRule>
  </conditionalFormatting>
  <conditionalFormatting sqref="M84:P84">
    <cfRule type="containsText" dxfId="565" priority="99" operator="containsText" text="Reference">
      <formula>NOT(ISERROR(SEARCH("Reference",M84)))</formula>
    </cfRule>
  </conditionalFormatting>
  <conditionalFormatting sqref="R84:U84">
    <cfRule type="containsText" dxfId="564" priority="98" operator="containsText" text="Reference">
      <formula>NOT(ISERROR(SEARCH("Reference",R84)))</formula>
    </cfRule>
  </conditionalFormatting>
  <conditionalFormatting sqref="H86:K86">
    <cfRule type="containsText" dxfId="563" priority="96" operator="containsText" text="Reference">
      <formula>NOT(ISERROR(SEARCH("Reference",H86)))</formula>
    </cfRule>
  </conditionalFormatting>
  <conditionalFormatting sqref="M86:P86">
    <cfRule type="containsText" dxfId="562" priority="95" operator="containsText" text="Reference">
      <formula>NOT(ISERROR(SEARCH("Reference",M86)))</formula>
    </cfRule>
  </conditionalFormatting>
  <conditionalFormatting sqref="R86:U86">
    <cfRule type="containsText" dxfId="561" priority="94" operator="containsText" text="Reference">
      <formula>NOT(ISERROR(SEARCH("Reference",R86)))</formula>
    </cfRule>
  </conditionalFormatting>
  <conditionalFormatting sqref="H88:K88">
    <cfRule type="containsText" dxfId="560" priority="92" operator="containsText" text="Reference">
      <formula>NOT(ISERROR(SEARCH("Reference",H88)))</formula>
    </cfRule>
  </conditionalFormatting>
  <conditionalFormatting sqref="M88:P88">
    <cfRule type="containsText" dxfId="559" priority="91" operator="containsText" text="Reference">
      <formula>NOT(ISERROR(SEARCH("Reference",M88)))</formula>
    </cfRule>
  </conditionalFormatting>
  <conditionalFormatting sqref="R88:U88">
    <cfRule type="containsText" dxfId="558" priority="90" operator="containsText" text="Reference">
      <formula>NOT(ISERROR(SEARCH("Reference",R88)))</formula>
    </cfRule>
  </conditionalFormatting>
  <conditionalFormatting sqref="B81">
    <cfRule type="containsText" dxfId="557" priority="88" operator="containsText" text="Add here">
      <formula>NOT(ISERROR(SEARCH("Add here",B81)))</formula>
    </cfRule>
  </conditionalFormatting>
  <conditionalFormatting sqref="B83">
    <cfRule type="containsText" dxfId="556" priority="87" operator="containsText" text="Add here">
      <formula>NOT(ISERROR(SEARCH("Add here",B83)))</formula>
    </cfRule>
  </conditionalFormatting>
  <conditionalFormatting sqref="B85">
    <cfRule type="containsText" dxfId="555" priority="86" operator="containsText" text="Add here">
      <formula>NOT(ISERROR(SEARCH("Add here",B85)))</formula>
    </cfRule>
  </conditionalFormatting>
  <conditionalFormatting sqref="B87">
    <cfRule type="containsText" dxfId="554" priority="85" operator="containsText" text="Add here">
      <formula>NOT(ISERROR(SEARCH("Add here",B87)))</formula>
    </cfRule>
  </conditionalFormatting>
  <conditionalFormatting sqref="G84 G86 G88 G82">
    <cfRule type="containsText" dxfId="553" priority="84" operator="containsText" text="Reference">
      <formula>NOT(ISERROR(SEARCH("Reference",G82)))</formula>
    </cfRule>
  </conditionalFormatting>
  <conditionalFormatting sqref="G82 G84 G86 G88">
    <cfRule type="containsText" dxfId="552" priority="83" operator="containsText" text="Reference">
      <formula>NOT(ISERROR(SEARCH("Reference",G82)))</formula>
    </cfRule>
  </conditionalFormatting>
  <conditionalFormatting sqref="L84 L86 L88 L82">
    <cfRule type="containsText" dxfId="551" priority="82" operator="containsText" text="Reference">
      <formula>NOT(ISERROR(SEARCH("Reference",L82)))</formula>
    </cfRule>
  </conditionalFormatting>
  <conditionalFormatting sqref="L82 L84 L86 L88">
    <cfRule type="containsText" dxfId="550" priority="81" operator="containsText" text="Reference">
      <formula>NOT(ISERROR(SEARCH("Reference",L82)))</formula>
    </cfRule>
  </conditionalFormatting>
  <conditionalFormatting sqref="Q84 Q86 Q88 Q82">
    <cfRule type="containsText" dxfId="549" priority="80" operator="containsText" text="Reference">
      <formula>NOT(ISERROR(SEARCH("Reference",Q82)))</formula>
    </cfRule>
  </conditionalFormatting>
  <conditionalFormatting sqref="Q82 Q84 Q86 Q88">
    <cfRule type="containsText" dxfId="548" priority="79" operator="containsText" text="Reference">
      <formula>NOT(ISERROR(SEARCH("Reference",Q82)))</formula>
    </cfRule>
  </conditionalFormatting>
  <conditionalFormatting sqref="D89">
    <cfRule type="containsText" dxfId="547" priority="78" operator="containsText" text="Explain here">
      <formula>NOT(ISERROR(SEARCH("Explain here",D89)))</formula>
    </cfRule>
  </conditionalFormatting>
  <conditionalFormatting sqref="D83">
    <cfRule type="containsText" dxfId="546" priority="77" operator="containsText" text="Specify here">
      <formula>NOT(ISERROR(SEARCH("Specify here",D83)))</formula>
    </cfRule>
  </conditionalFormatting>
  <conditionalFormatting sqref="D85">
    <cfRule type="containsText" dxfId="545" priority="76" operator="containsText" text="Specify here">
      <formula>NOT(ISERROR(SEARCH("Specify here",D85)))</formula>
    </cfRule>
  </conditionalFormatting>
  <conditionalFormatting sqref="D87">
    <cfRule type="containsText" dxfId="544" priority="75" operator="containsText" text="Specify here">
      <formula>NOT(ISERROR(SEARCH("Specify here",D87)))</formula>
    </cfRule>
  </conditionalFormatting>
  <conditionalFormatting sqref="F21">
    <cfRule type="containsText" dxfId="543" priority="74" operator="containsText" text="Please select">
      <formula>NOT(ISERROR(SEARCH("Please select",F21)))</formula>
    </cfRule>
  </conditionalFormatting>
  <conditionalFormatting sqref="F24">
    <cfRule type="containsText" dxfId="542" priority="73" operator="containsText" text="Select Functional Unit above">
      <formula>NOT(ISERROR(SEARCH("Select Functional Unit above",F24)))</formula>
    </cfRule>
  </conditionalFormatting>
  <conditionalFormatting sqref="E41">
    <cfRule type="containsText" dxfId="541" priority="72" operator="containsText" text="Please select 'Functional Unit' above">
      <formula>NOT(ISERROR(SEARCH("Please select 'Functional Unit' above",E41)))</formula>
    </cfRule>
  </conditionalFormatting>
  <conditionalFormatting sqref="N23">
    <cfRule type="containsText" dxfId="540" priority="71" operator="containsText" text="Reference">
      <formula>NOT(ISERROR(SEARCH("Reference",N23)))</formula>
    </cfRule>
  </conditionalFormatting>
  <conditionalFormatting sqref="I23">
    <cfRule type="containsText" dxfId="539" priority="70" operator="containsText" text="Reference">
      <formula>NOT(ISERROR(SEARCH("Reference",I23)))</formula>
    </cfRule>
  </conditionalFormatting>
  <conditionalFormatting sqref="I23">
    <cfRule type="containsText" dxfId="538" priority="69" operator="containsText" text="Reference">
      <formula>NOT(ISERROR(SEARCH("Reference",I23)))</formula>
    </cfRule>
  </conditionalFormatting>
  <conditionalFormatting sqref="H23">
    <cfRule type="containsText" dxfId="537" priority="68" operator="containsText" text="Reference">
      <formula>NOT(ISERROR(SEARCH("Reference",H23)))</formula>
    </cfRule>
  </conditionalFormatting>
  <conditionalFormatting sqref="H23">
    <cfRule type="containsText" dxfId="536" priority="67" operator="containsText" text="Reference">
      <formula>NOT(ISERROR(SEARCH("Reference",H23)))</formula>
    </cfRule>
  </conditionalFormatting>
  <conditionalFormatting sqref="L23">
    <cfRule type="containsText" dxfId="535" priority="66" operator="containsText" text="Reference">
      <formula>NOT(ISERROR(SEARCH("Reference",L23)))</formula>
    </cfRule>
  </conditionalFormatting>
  <conditionalFormatting sqref="M23">
    <cfRule type="containsText" dxfId="534" priority="65" operator="containsText" text="Reference">
      <formula>NOT(ISERROR(SEARCH("Reference",M23)))</formula>
    </cfRule>
  </conditionalFormatting>
  <conditionalFormatting sqref="M23">
    <cfRule type="containsText" dxfId="533" priority="64" operator="containsText" text="Reference">
      <formula>NOT(ISERROR(SEARCH("Reference",M23)))</formula>
    </cfRule>
  </conditionalFormatting>
  <conditionalFormatting sqref="Q23">
    <cfRule type="containsText" dxfId="532" priority="63" operator="containsText" text="Reference">
      <formula>NOT(ISERROR(SEARCH("Reference",Q23)))</formula>
    </cfRule>
  </conditionalFormatting>
  <conditionalFormatting sqref="R23">
    <cfRule type="containsText" dxfId="531" priority="62" operator="containsText" text="Reference">
      <formula>NOT(ISERROR(SEARCH("Reference",R23)))</formula>
    </cfRule>
  </conditionalFormatting>
  <conditionalFormatting sqref="R23">
    <cfRule type="containsText" dxfId="530" priority="61" operator="containsText" text="Reference">
      <formula>NOT(ISERROR(SEARCH("Reference",R23)))</formula>
    </cfRule>
  </conditionalFormatting>
  <conditionalFormatting sqref="D11">
    <cfRule type="containsText" dxfId="529" priority="60" operator="containsText" text="Specify here">
      <formula>NOT(ISERROR(SEARCH("Specify here",D11)))</formula>
    </cfRule>
  </conditionalFormatting>
  <conditionalFormatting sqref="G38:K38">
    <cfRule type="containsText" dxfId="528" priority="59" operator="containsText" text="Reference">
      <formula>NOT(ISERROR(SEARCH("Reference",G38)))</formula>
    </cfRule>
  </conditionalFormatting>
  <conditionalFormatting sqref="L38:P38">
    <cfRule type="containsText" dxfId="527" priority="58" operator="containsText" text="Reference">
      <formula>NOT(ISERROR(SEARCH("Reference",L38)))</formula>
    </cfRule>
  </conditionalFormatting>
  <conditionalFormatting sqref="Q38:U38">
    <cfRule type="containsText" dxfId="526" priority="57" operator="containsText" text="Reference">
      <formula>NOT(ISERROR(SEARCH("Reference",Q38)))</formula>
    </cfRule>
  </conditionalFormatting>
  <conditionalFormatting sqref="G38:U38">
    <cfRule type="containsText" dxfId="525" priority="56" operator="containsText" text="Reference">
      <formula>NOT(ISERROR(SEARCH("Reference",G38)))</formula>
    </cfRule>
  </conditionalFormatting>
  <conditionalFormatting sqref="L38">
    <cfRule type="containsText" dxfId="524" priority="55" operator="containsText" text="Reference">
      <formula>NOT(ISERROR(SEARCH("Reference",L38)))</formula>
    </cfRule>
  </conditionalFormatting>
  <conditionalFormatting sqref="M38">
    <cfRule type="containsText" dxfId="523" priority="54" operator="containsText" text="Reference">
      <formula>NOT(ISERROR(SEARCH("Reference",M38)))</formula>
    </cfRule>
  </conditionalFormatting>
  <conditionalFormatting sqref="N38">
    <cfRule type="containsText" dxfId="522" priority="53" operator="containsText" text="Reference">
      <formula>NOT(ISERROR(SEARCH("Reference",N38)))</formula>
    </cfRule>
  </conditionalFormatting>
  <conditionalFormatting sqref="Q38">
    <cfRule type="containsText" dxfId="521" priority="52" operator="containsText" text="Reference">
      <formula>NOT(ISERROR(SEARCH("Reference",Q38)))</formula>
    </cfRule>
  </conditionalFormatting>
  <conditionalFormatting sqref="R38">
    <cfRule type="containsText" dxfId="520" priority="51" operator="containsText" text="Reference">
      <formula>NOT(ISERROR(SEARCH("Reference",R38)))</formula>
    </cfRule>
  </conditionalFormatting>
  <conditionalFormatting sqref="S38">
    <cfRule type="containsText" dxfId="519" priority="50" operator="containsText" text="Reference">
      <formula>NOT(ISERROR(SEARCH("Reference",S38)))</formula>
    </cfRule>
  </conditionalFormatting>
  <conditionalFormatting sqref="L38">
    <cfRule type="containsText" dxfId="518" priority="49" operator="containsText" text="Reference">
      <formula>NOT(ISERROR(SEARCH("Reference",L38)))</formula>
    </cfRule>
  </conditionalFormatting>
  <conditionalFormatting sqref="N38">
    <cfRule type="containsText" dxfId="517" priority="48" operator="containsText" text="Reference">
      <formula>NOT(ISERROR(SEARCH("Reference",N38)))</formula>
    </cfRule>
  </conditionalFormatting>
  <conditionalFormatting sqref="Q38">
    <cfRule type="containsText" dxfId="516" priority="47" operator="containsText" text="Reference">
      <formula>NOT(ISERROR(SEARCH("Reference",Q38)))</formula>
    </cfRule>
  </conditionalFormatting>
  <conditionalFormatting sqref="Q38">
    <cfRule type="containsText" dxfId="515" priority="46" operator="containsText" text="Reference">
      <formula>NOT(ISERROR(SEARCH("Reference",Q38)))</formula>
    </cfRule>
  </conditionalFormatting>
  <conditionalFormatting sqref="R38">
    <cfRule type="containsText" dxfId="514" priority="45" operator="containsText" text="Reference">
      <formula>NOT(ISERROR(SEARCH("Reference",R38)))</formula>
    </cfRule>
  </conditionalFormatting>
  <conditionalFormatting sqref="R38">
    <cfRule type="containsText" dxfId="513" priority="44" operator="containsText" text="Reference">
      <formula>NOT(ISERROR(SEARCH("Reference",R38)))</formula>
    </cfRule>
  </conditionalFormatting>
  <conditionalFormatting sqref="U38">
    <cfRule type="containsText" dxfId="512" priority="43" operator="containsText" text="Reference">
      <formula>NOT(ISERROR(SEARCH("Reference",U38)))</formula>
    </cfRule>
  </conditionalFormatting>
  <conditionalFormatting sqref="U38">
    <cfRule type="containsText" dxfId="511" priority="42" operator="containsText" text="Reference">
      <formula>NOT(ISERROR(SEARCH("Reference",U38)))</formula>
    </cfRule>
  </conditionalFormatting>
  <conditionalFormatting sqref="M38">
    <cfRule type="containsText" dxfId="510" priority="41" operator="containsText" text="Reference">
      <formula>NOT(ISERROR(SEARCH("Reference",M38)))</formula>
    </cfRule>
  </conditionalFormatting>
  <conditionalFormatting sqref="M38">
    <cfRule type="containsText" dxfId="509" priority="40" operator="containsText" text="Reference">
      <formula>NOT(ISERROR(SEARCH("Reference",M38)))</formula>
    </cfRule>
  </conditionalFormatting>
  <conditionalFormatting sqref="N38">
    <cfRule type="containsText" dxfId="508" priority="39" operator="containsText" text="Reference">
      <formula>NOT(ISERROR(SEARCH("Reference",N38)))</formula>
    </cfRule>
  </conditionalFormatting>
  <conditionalFormatting sqref="N38">
    <cfRule type="containsText" dxfId="507" priority="38" operator="containsText" text="Reference">
      <formula>NOT(ISERROR(SEARCH("Reference",N38)))</formula>
    </cfRule>
  </conditionalFormatting>
  <conditionalFormatting sqref="Q38">
    <cfRule type="containsText" dxfId="506" priority="37" operator="containsText" text="Reference">
      <formula>NOT(ISERROR(SEARCH("Reference",Q38)))</formula>
    </cfRule>
  </conditionalFormatting>
  <conditionalFormatting sqref="Q38">
    <cfRule type="containsText" dxfId="505" priority="36" operator="containsText" text="Reference">
      <formula>NOT(ISERROR(SEARCH("Reference",Q38)))</formula>
    </cfRule>
  </conditionalFormatting>
  <conditionalFormatting sqref="Q38">
    <cfRule type="containsText" dxfId="504" priority="35" operator="containsText" text="Reference">
      <formula>NOT(ISERROR(SEARCH("Reference",Q38)))</formula>
    </cfRule>
  </conditionalFormatting>
  <conditionalFormatting sqref="R38">
    <cfRule type="containsText" dxfId="503" priority="34" operator="containsText" text="Reference">
      <formula>NOT(ISERROR(SEARCH("Reference",R38)))</formula>
    </cfRule>
  </conditionalFormatting>
  <conditionalFormatting sqref="R38">
    <cfRule type="containsText" dxfId="502" priority="33" operator="containsText" text="Reference">
      <formula>NOT(ISERROR(SEARCH("Reference",R38)))</formula>
    </cfRule>
  </conditionalFormatting>
  <conditionalFormatting sqref="R38">
    <cfRule type="containsText" dxfId="501" priority="32" operator="containsText" text="Reference">
      <formula>NOT(ISERROR(SEARCH("Reference",R38)))</formula>
    </cfRule>
  </conditionalFormatting>
  <conditionalFormatting sqref="S38">
    <cfRule type="containsText" dxfId="500" priority="31" operator="containsText" text="Reference">
      <formula>NOT(ISERROR(SEARCH("Reference",S38)))</formula>
    </cfRule>
  </conditionalFormatting>
  <conditionalFormatting sqref="S38">
    <cfRule type="containsText" dxfId="499" priority="30" operator="containsText" text="Reference">
      <formula>NOT(ISERROR(SEARCH("Reference",S38)))</formula>
    </cfRule>
  </conditionalFormatting>
  <conditionalFormatting sqref="S38">
    <cfRule type="containsText" dxfId="498" priority="29" operator="containsText" text="Reference">
      <formula>NOT(ISERROR(SEARCH("Reference",S38)))</formula>
    </cfRule>
  </conditionalFormatting>
  <conditionalFormatting sqref="G40:K40">
    <cfRule type="containsText" dxfId="497" priority="28" operator="containsText" text="Reference">
      <formula>NOT(ISERROR(SEARCH("Reference",G40)))</formula>
    </cfRule>
  </conditionalFormatting>
  <conditionalFormatting sqref="L40:P40">
    <cfRule type="containsText" dxfId="496" priority="27" operator="containsText" text="Reference">
      <formula>NOT(ISERROR(SEARCH("Reference",L40)))</formula>
    </cfRule>
  </conditionalFormatting>
  <conditionalFormatting sqref="Q40:U40">
    <cfRule type="containsText" dxfId="495" priority="26" operator="containsText" text="Reference">
      <formula>NOT(ISERROR(SEARCH("Reference",Q40)))</formula>
    </cfRule>
  </conditionalFormatting>
  <conditionalFormatting sqref="G40:U40">
    <cfRule type="containsText" dxfId="494" priority="25" operator="containsText" text="Reference">
      <formula>NOT(ISERROR(SEARCH("Reference",G40)))</formula>
    </cfRule>
  </conditionalFormatting>
  <conditionalFormatting sqref="L40">
    <cfRule type="containsText" dxfId="493" priority="24" operator="containsText" text="Reference">
      <formula>NOT(ISERROR(SEARCH("Reference",L40)))</formula>
    </cfRule>
  </conditionalFormatting>
  <conditionalFormatting sqref="Q40">
    <cfRule type="containsText" dxfId="492" priority="23" operator="containsText" text="Reference">
      <formula>NOT(ISERROR(SEARCH("Reference",Q40)))</formula>
    </cfRule>
  </conditionalFormatting>
  <conditionalFormatting sqref="L40">
    <cfRule type="containsText" dxfId="491" priority="22" operator="containsText" text="Reference">
      <formula>NOT(ISERROR(SEARCH("Reference",L40)))</formula>
    </cfRule>
  </conditionalFormatting>
  <conditionalFormatting sqref="Q40">
    <cfRule type="containsText" dxfId="490" priority="21" operator="containsText" text="Reference">
      <formula>NOT(ISERROR(SEARCH("Reference",Q40)))</formula>
    </cfRule>
  </conditionalFormatting>
  <conditionalFormatting sqref="Q40">
    <cfRule type="containsText" dxfId="489" priority="20" operator="containsText" text="Reference">
      <formula>NOT(ISERROR(SEARCH("Reference",Q40)))</formula>
    </cfRule>
  </conditionalFormatting>
  <conditionalFormatting sqref="Q40">
    <cfRule type="containsText" dxfId="488" priority="19" operator="containsText" text="Reference">
      <formula>NOT(ISERROR(SEARCH("Reference",Q40)))</formula>
    </cfRule>
  </conditionalFormatting>
  <conditionalFormatting sqref="Q40">
    <cfRule type="containsText" dxfId="487" priority="18" operator="containsText" text="Reference">
      <formula>NOT(ISERROR(SEARCH("Reference",Q40)))</formula>
    </cfRule>
  </conditionalFormatting>
  <conditionalFormatting sqref="Q40">
    <cfRule type="containsText" dxfId="486" priority="17" operator="containsText" text="Reference">
      <formula>NOT(ISERROR(SEARCH("Reference",Q40)))</formula>
    </cfRule>
  </conditionalFormatting>
  <conditionalFormatting sqref="Q40">
    <cfRule type="containsText" dxfId="485" priority="16" operator="containsText" text="Reference">
      <formula>NOT(ISERROR(SEARCH("Reference",Q40)))</formula>
    </cfRule>
  </conditionalFormatting>
  <conditionalFormatting sqref="G42:K42">
    <cfRule type="containsText" dxfId="484" priority="15" operator="containsText" text="Reference">
      <formula>NOT(ISERROR(SEARCH("Reference",G42)))</formula>
    </cfRule>
  </conditionalFormatting>
  <conditionalFormatting sqref="L42:P42">
    <cfRule type="containsText" dxfId="483" priority="14" operator="containsText" text="Reference">
      <formula>NOT(ISERROR(SEARCH("Reference",L42)))</formula>
    </cfRule>
  </conditionalFormatting>
  <conditionalFormatting sqref="Q42:U42">
    <cfRule type="containsText" dxfId="482" priority="13" operator="containsText" text="Reference">
      <formula>NOT(ISERROR(SEARCH("Reference",Q42)))</formula>
    </cfRule>
  </conditionalFormatting>
  <conditionalFormatting sqref="G42:U42">
    <cfRule type="containsText" dxfId="481" priority="12" operator="containsText" text="Reference">
      <formula>NOT(ISERROR(SEARCH("Reference",G42)))</formula>
    </cfRule>
  </conditionalFormatting>
  <conditionalFormatting sqref="L42">
    <cfRule type="containsText" dxfId="480" priority="11" operator="containsText" text="Reference">
      <formula>NOT(ISERROR(SEARCH("Reference",L42)))</formula>
    </cfRule>
  </conditionalFormatting>
  <conditionalFormatting sqref="Q42">
    <cfRule type="containsText" dxfId="479" priority="10" operator="containsText" text="Reference">
      <formula>NOT(ISERROR(SEARCH("Reference",Q42)))</formula>
    </cfRule>
  </conditionalFormatting>
  <conditionalFormatting sqref="L42">
    <cfRule type="containsText" dxfId="478" priority="9" operator="containsText" text="Reference">
      <formula>NOT(ISERROR(SEARCH("Reference",L42)))</formula>
    </cfRule>
  </conditionalFormatting>
  <conditionalFormatting sqref="Q42">
    <cfRule type="containsText" dxfId="477" priority="8" operator="containsText" text="Reference">
      <formula>NOT(ISERROR(SEARCH("Reference",Q42)))</formula>
    </cfRule>
  </conditionalFormatting>
  <conditionalFormatting sqref="Q42">
    <cfRule type="containsText" dxfId="476" priority="7" operator="containsText" text="Reference">
      <formula>NOT(ISERROR(SEARCH("Reference",Q42)))</formula>
    </cfRule>
  </conditionalFormatting>
  <conditionalFormatting sqref="Q42">
    <cfRule type="containsText" dxfId="475" priority="6" operator="containsText" text="Reference">
      <formula>NOT(ISERROR(SEARCH("Reference",Q42)))</formula>
    </cfRule>
  </conditionalFormatting>
  <conditionalFormatting sqref="Q42">
    <cfRule type="containsText" dxfId="474" priority="5" operator="containsText" text="Reference">
      <formula>NOT(ISERROR(SEARCH("Reference",Q42)))</formula>
    </cfRule>
  </conditionalFormatting>
  <conditionalFormatting sqref="Q42">
    <cfRule type="containsText" dxfId="473" priority="4" operator="containsText" text="Reference">
      <formula>NOT(ISERROR(SEARCH("Reference",Q42)))</formula>
    </cfRule>
  </conditionalFormatting>
  <conditionalFormatting sqref="Q42">
    <cfRule type="containsText" dxfId="472" priority="3" operator="containsText" text="Reference">
      <formula>NOT(ISERROR(SEARCH("Reference",Q42)))</formula>
    </cfRule>
  </conditionalFormatting>
  <conditionalFormatting sqref="C91:U91">
    <cfRule type="containsText" dxfId="471" priority="2" operator="containsText" text="Specify complete references and data sources used here">
      <formula>NOT(ISERROR(SEARCH("Specify complete references and data sources used here",C91)))</formula>
    </cfRule>
  </conditionalFormatting>
  <conditionalFormatting sqref="D45">
    <cfRule type="containsText" dxfId="470" priority="1" operator="containsText" text="Explain here (e.g. other costs)">
      <formula>NOT(ISERROR(SEARCH("Explain here (e.g. other costs)",D45)))</formula>
    </cfRule>
  </conditionalFormatting>
  <dataValidations count="7">
    <dataValidation type="list" allowBlank="1" showInputMessage="1" showErrorMessage="1" prompt="More details are found in 'READ ME' tab" sqref="L12:O12" xr:uid="{DBC3B838-59BC-4A81-8B7F-8E5D89168D4D}">
      <formula1>$C$17:$C$29</formula1>
    </dataValidation>
    <dataValidation type="list" allowBlank="1" showInputMessage="1" showErrorMessage="1" sqref="L7:O7" xr:uid="{99186D4E-212B-43E8-8068-4012CDBB56EC}">
      <formula1>$B$3:$B$24</formula1>
    </dataValidation>
    <dataValidation type="list" allowBlank="1" showInputMessage="1" showErrorMessage="1" sqref="L10:O10" xr:uid="{94FC3F23-2F47-4F2B-9116-171C26AB0CAF}">
      <formula1>$D$3:$D$14</formula1>
    </dataValidation>
    <dataValidation type="list" allowBlank="1" showInputMessage="1" showErrorMessage="1" sqref="L9:O9" xr:uid="{8E432B08-678A-41EB-8A6E-E3862DDE0EB6}">
      <formula1>$X$1:$X$4</formula1>
    </dataValidation>
    <dataValidation type="list" allowBlank="1" showInputMessage="1" showErrorMessage="1" sqref="L32:O32" xr:uid="{D28DD863-9112-4BF3-8F93-E7661FAB1690}">
      <formula1>$X$6:$X$8</formula1>
    </dataValidation>
    <dataValidation type="textLength" operator="lessThanOrEqual" allowBlank="1" showInputMessage="1" showErrorMessage="1" error="The cell only allows up to 700 characters._x000a_" prompt="Maximum length: 700 characters" sqref="L11:O11" xr:uid="{AC29E99F-E7DB-4168-9BB8-CC3201E2C0B7}">
      <formula1>700</formula1>
    </dataValidation>
    <dataValidation allowBlank="1" showInputMessage="1" showErrorMessage="1" prompt="More details are found in 'READ ME' tab" sqref="D13" xr:uid="{622513FC-8AA3-4068-BAF1-F57DE5B809C1}"/>
  </dataValidations>
  <pageMargins left="0.7" right="0.7" top="0.75" bottom="0.75" header="0.3" footer="0.3"/>
  <pageSetup paperSize="9" scale="31"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r:uid="{9F550A5C-F0CA-4D93-83FB-22CA4E12CCF5}">
          <x14:formula1>
            <xm:f>List!$B$3:$B$27</xm:f>
          </x14:formula1>
          <xm:sqref>D7:K7</xm:sqref>
        </x14:dataValidation>
        <x14:dataValidation type="list" allowBlank="1" showInputMessage="1" showErrorMessage="1" xr:uid="{B512DA8E-EA4F-44F9-A4BA-C1FD196C8FA2}">
          <x14:formula1>
            <xm:f>List!$J$3:$J$68</xm:f>
          </x14:formula1>
          <xm:sqref>D51:E56</xm:sqref>
        </x14:dataValidation>
        <x14:dataValidation type="list" allowBlank="1" showInputMessage="1" showErrorMessage="1" xr:uid="{435257EF-AADB-4460-9A15-BA510C3103D5}">
          <x14:formula1>
            <xm:f>List!$X$10:$X$13</xm:f>
          </x14:formula1>
          <xm:sqref>D21:E23</xm:sqref>
        </x14:dataValidation>
        <x14:dataValidation type="list" allowBlank="1" showInputMessage="1" showErrorMessage="1" xr:uid="{D25727E4-5BE9-4D64-A787-8BCCDDC329CE}">
          <x14:formula1>
            <xm:f>List!$J$2:$J$74</xm:f>
          </x14:formula1>
          <xm:sqref>D49:E50</xm:sqref>
        </x14:dataValidation>
        <x14:dataValidation type="list" allowBlank="1" showInputMessage="1" showErrorMessage="1" xr:uid="{61884373-D123-4DBE-A143-6E6A949D4215}">
          <x14:formula1>
            <xm:f>List!$P$3:$P$13</xm:f>
          </x14:formula1>
          <xm:sqref>D69:E76</xm:sqref>
        </x14:dataValidation>
        <x14:dataValidation type="list" allowBlank="1" showInputMessage="1" showErrorMessage="1" xr:uid="{7DD35956-A57A-40A9-B27A-559CB08EDB41}">
          <x14:formula1>
            <xm:f>List!$X$2:$X$4</xm:f>
          </x14:formula1>
          <xm:sqref>D9:K9</xm:sqref>
        </x14:dataValidation>
        <x14:dataValidation type="list" allowBlank="1" showInputMessage="1" showErrorMessage="1" xr:uid="{CDFE168B-DBEA-4927-AD2E-7E6F62BF970E}">
          <x14:formula1>
            <xm:f>List!$F$3:$F$18</xm:f>
          </x14:formula1>
          <xm:sqref>D15:K16 F21</xm:sqref>
        </x14:dataValidation>
        <x14:dataValidation type="list" allowBlank="1" showInputMessage="1" showErrorMessage="1" xr:uid="{F6D4E1E9-F2D7-4BBB-93B4-95793B192EA1}">
          <x14:formula1>
            <xm:f>List!$H$3:$H$10</xm:f>
          </x14:formula1>
          <xm:sqref>D28</xm:sqref>
        </x14:dataValidation>
        <x14:dataValidation type="list" allowBlank="1" showInputMessage="1" showErrorMessage="1" xr:uid="{6CCF3A8C-E4F0-4F65-953A-CE1B1049F66E}">
          <x14:formula1>
            <xm:f>List!$R$3:$R$6</xm:f>
          </x14:formula1>
          <xm:sqref>F69:F76</xm:sqref>
        </x14:dataValidation>
        <x14:dataValidation type="list" allowBlank="1" showInputMessage="1" showErrorMessage="1" xr:uid="{A4DC3585-017E-4076-AB13-4CFF7616093E}">
          <x14:formula1>
            <xm:f>List!$D$3:$D$17</xm:f>
          </x14:formula1>
          <xm:sqref>D10</xm:sqref>
        </x14:dataValidation>
        <x14:dataValidation type="list" allowBlank="1" showInputMessage="1" showErrorMessage="1" xr:uid="{319EFCD7-12A8-412A-A9C5-6CF511F8F43C}">
          <x14:formula1>
            <xm:f>List!$X$6:$X$8</xm:f>
          </x14:formula1>
          <xm:sqref>D32</xm:sqref>
        </x14:dataValidation>
        <x14:dataValidation type="list" allowBlank="1" showInputMessage="1" showErrorMessage="1" prompt="More details are found in 'READ ME' tab" xr:uid="{AC9CAF4C-23CB-4554-AD76-3D829093C9D2}">
          <x14:formula1>
            <xm:f>'READ ME'!$C$26:$C$34</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D1F80-FAFC-4340-A1DB-E43A9C94CC7D}">
  <sheetPr>
    <tabColor theme="4"/>
  </sheetPr>
  <dimension ref="A1:F20"/>
  <sheetViews>
    <sheetView zoomScale="120" zoomScaleNormal="120" workbookViewId="0">
      <selection activeCell="D4" sqref="F4"/>
    </sheetView>
  </sheetViews>
  <sheetFormatPr defaultRowHeight="15.75" x14ac:dyDescent="0.25"/>
  <cols>
    <col min="2" max="2" width="27.375" bestFit="1" customWidth="1"/>
    <col min="3" max="3" width="12.625" customWidth="1"/>
    <col min="4" max="4" width="13.375" customWidth="1"/>
    <col min="5" max="5" width="42" bestFit="1" customWidth="1"/>
  </cols>
  <sheetData>
    <row r="1" spans="1:6" x14ac:dyDescent="0.25">
      <c r="A1" t="s">
        <v>659</v>
      </c>
      <c r="B1" s="241">
        <v>44874</v>
      </c>
    </row>
    <row r="3" spans="1:6" ht="16.5" thickBot="1" x14ac:dyDescent="0.3">
      <c r="B3" s="242" t="s">
        <v>660</v>
      </c>
      <c r="C3" s="242" t="s">
        <v>661</v>
      </c>
      <c r="D3" s="242" t="s">
        <v>662</v>
      </c>
      <c r="E3" s="242" t="s">
        <v>663</v>
      </c>
    </row>
    <row r="4" spans="1:6" x14ac:dyDescent="0.25">
      <c r="B4" t="s">
        <v>664</v>
      </c>
      <c r="C4" t="s">
        <v>185</v>
      </c>
      <c r="D4" t="s">
        <v>593</v>
      </c>
      <c r="E4" t="s">
        <v>665</v>
      </c>
      <c r="F4" s="85"/>
    </row>
    <row r="5" spans="1:6" x14ac:dyDescent="0.25">
      <c r="B5" t="s">
        <v>666</v>
      </c>
      <c r="C5" t="s">
        <v>185</v>
      </c>
      <c r="D5" t="s">
        <v>667</v>
      </c>
    </row>
    <row r="6" spans="1:6" x14ac:dyDescent="0.25">
      <c r="B6" t="s">
        <v>668</v>
      </c>
      <c r="C6">
        <v>1000</v>
      </c>
      <c r="D6">
        <v>1</v>
      </c>
    </row>
    <row r="7" spans="1:6" x14ac:dyDescent="0.25">
      <c r="B7" t="s">
        <v>669</v>
      </c>
      <c r="C7">
        <v>3000</v>
      </c>
      <c r="D7">
        <v>3</v>
      </c>
    </row>
    <row r="8" spans="1:6" x14ac:dyDescent="0.25">
      <c r="B8" t="s">
        <v>670</v>
      </c>
      <c r="C8">
        <v>10000</v>
      </c>
      <c r="D8">
        <v>10</v>
      </c>
    </row>
    <row r="9" spans="1:6" x14ac:dyDescent="0.25">
      <c r="B9" t="s">
        <v>671</v>
      </c>
      <c r="C9" t="s">
        <v>672</v>
      </c>
      <c r="D9" t="s">
        <v>673</v>
      </c>
      <c r="E9" t="s">
        <v>674</v>
      </c>
    </row>
    <row r="10" spans="1:6" x14ac:dyDescent="0.25">
      <c r="B10" t="s">
        <v>675</v>
      </c>
      <c r="C10">
        <v>0.65398108602806593</v>
      </c>
      <c r="D10" s="136">
        <f>C10*1000</f>
        <v>653.98108602806587</v>
      </c>
    </row>
    <row r="11" spans="1:6" x14ac:dyDescent="0.25">
      <c r="B11" t="s">
        <v>676</v>
      </c>
      <c r="C11">
        <v>0.51626167754838004</v>
      </c>
      <c r="D11" s="136">
        <f t="shared" ref="D11:D12" si="0">C11*1000</f>
        <v>516.26167754838002</v>
      </c>
    </row>
    <row r="12" spans="1:6" x14ac:dyDescent="0.25">
      <c r="B12" t="s">
        <v>677</v>
      </c>
      <c r="C12">
        <v>0.34595155130897948</v>
      </c>
      <c r="D12" s="136">
        <f t="shared" si="0"/>
        <v>345.9515513089795</v>
      </c>
    </row>
    <row r="13" spans="1:6" x14ac:dyDescent="0.25">
      <c r="B13" t="s">
        <v>678</v>
      </c>
      <c r="E13" t="s">
        <v>679</v>
      </c>
    </row>
    <row r="14" spans="1:6" x14ac:dyDescent="0.25">
      <c r="B14" t="s">
        <v>680</v>
      </c>
      <c r="C14" s="243">
        <v>7.0000000000000001E-3</v>
      </c>
      <c r="D14">
        <f>C14*1000</f>
        <v>7</v>
      </c>
    </row>
    <row r="15" spans="1:6" x14ac:dyDescent="0.25">
      <c r="B15" t="s">
        <v>681</v>
      </c>
      <c r="C15" s="243">
        <v>7.0000000000000001E-3</v>
      </c>
      <c r="D15">
        <f t="shared" ref="D15:D16" si="1">C15*1000</f>
        <v>7</v>
      </c>
    </row>
    <row r="16" spans="1:6" x14ac:dyDescent="0.25">
      <c r="B16" t="s">
        <v>682</v>
      </c>
      <c r="C16" s="243">
        <v>7.0000000000000001E-3</v>
      </c>
      <c r="D16">
        <f t="shared" si="1"/>
        <v>7</v>
      </c>
    </row>
    <row r="17" spans="2:5" x14ac:dyDescent="0.25">
      <c r="B17" t="s">
        <v>683</v>
      </c>
      <c r="C17">
        <v>1.3143999999999999E-2</v>
      </c>
      <c r="D17" s="135">
        <f>C17*1000</f>
        <v>13.144</v>
      </c>
    </row>
    <row r="18" spans="2:5" x14ac:dyDescent="0.25">
      <c r="B18" t="s">
        <v>684</v>
      </c>
      <c r="C18">
        <v>1.2566151397124596E-2</v>
      </c>
      <c r="D18" s="135">
        <f t="shared" ref="D18:D19" si="2">C18*1000</f>
        <v>12.566151397124596</v>
      </c>
    </row>
    <row r="19" spans="2:5" x14ac:dyDescent="0.25">
      <c r="B19" t="s">
        <v>685</v>
      </c>
      <c r="C19">
        <v>1.185155735704427E-2</v>
      </c>
      <c r="D19" s="135">
        <f t="shared" si="2"/>
        <v>11.851557357044269</v>
      </c>
    </row>
    <row r="20" spans="2:5" x14ac:dyDescent="0.25">
      <c r="B20" t="s">
        <v>686</v>
      </c>
      <c r="E20" t="s">
        <v>687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BA103"/>
  <sheetViews>
    <sheetView topLeftCell="A33" zoomScale="120" zoomScaleNormal="120" workbookViewId="0">
      <selection activeCell="D4" sqref="F4"/>
    </sheetView>
  </sheetViews>
  <sheetFormatPr defaultColWidth="11" defaultRowHeight="15" x14ac:dyDescent="0.25"/>
  <cols>
    <col min="1" max="1" width="4.5" style="78" customWidth="1"/>
    <col min="2" max="2" width="11" style="78"/>
    <col min="3" max="3" width="27.625" style="78" customWidth="1"/>
    <col min="4" max="5" width="16.75" style="78" customWidth="1"/>
    <col min="6" max="21" width="12.5" style="78" customWidth="1"/>
    <col min="22" max="51" width="11" style="78"/>
    <col min="52" max="52" width="101.375" style="112" hidden="1" customWidth="1"/>
    <col min="53" max="53" width="182" style="112" hidden="1" customWidth="1"/>
    <col min="54" max="16384" width="11" style="78"/>
  </cols>
  <sheetData>
    <row r="1" spans="1:52" ht="21" x14ac:dyDescent="0.35">
      <c r="A1" s="4" t="s">
        <v>172</v>
      </c>
      <c r="B1" s="205"/>
      <c r="C1" s="205"/>
      <c r="D1" s="104"/>
      <c r="E1" s="205"/>
      <c r="F1" s="205"/>
      <c r="G1" s="205"/>
      <c r="H1" s="205"/>
      <c r="I1" s="205"/>
      <c r="J1" s="205"/>
      <c r="K1" s="205"/>
      <c r="L1" s="205"/>
      <c r="M1" s="205"/>
      <c r="N1" s="205"/>
      <c r="O1" s="205"/>
      <c r="P1" s="205"/>
      <c r="Q1" s="205"/>
      <c r="R1" s="205"/>
      <c r="S1" s="205"/>
      <c r="T1" s="205"/>
      <c r="U1" s="205"/>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row>
    <row r="2" spans="1:52" x14ac:dyDescent="0.25">
      <c r="A2" s="104" t="s">
        <v>173</v>
      </c>
      <c r="B2" s="205"/>
      <c r="C2" s="205"/>
      <c r="D2" s="104"/>
      <c r="E2" s="205"/>
      <c r="F2" s="205"/>
      <c r="G2" s="205"/>
      <c r="H2" s="205"/>
      <c r="I2" s="205"/>
      <c r="J2" s="205"/>
      <c r="K2" s="205"/>
      <c r="L2" s="205"/>
      <c r="M2" s="205"/>
      <c r="N2" s="205"/>
      <c r="O2" s="205"/>
      <c r="P2" s="205"/>
      <c r="Q2" s="205"/>
      <c r="R2" s="205"/>
      <c r="S2" s="205"/>
      <c r="T2" s="205"/>
      <c r="U2" s="205"/>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row>
    <row r="3" spans="1:52" x14ac:dyDescent="0.25">
      <c r="A3" s="205"/>
      <c r="B3" s="205"/>
      <c r="C3" s="205"/>
      <c r="D3" s="205"/>
      <c r="E3" s="205"/>
      <c r="F3" s="205"/>
      <c r="G3" s="205"/>
      <c r="H3" s="205"/>
      <c r="I3" s="205"/>
      <c r="J3" s="205"/>
      <c r="K3" s="205"/>
      <c r="L3" s="205"/>
      <c r="M3" s="205"/>
      <c r="N3" s="205"/>
      <c r="O3" s="205"/>
      <c r="P3" s="205"/>
      <c r="Q3" s="205"/>
      <c r="R3" s="205"/>
      <c r="S3" s="205"/>
      <c r="T3" s="205"/>
      <c r="U3" s="205"/>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row>
    <row r="4" spans="1:52" ht="21" customHeight="1" x14ac:dyDescent="0.25">
      <c r="A4" s="205"/>
      <c r="B4" s="288" t="s">
        <v>174</v>
      </c>
      <c r="C4" s="289"/>
      <c r="D4" s="289"/>
      <c r="E4" s="289"/>
      <c r="F4" s="289"/>
      <c r="G4" s="289"/>
      <c r="H4" s="289"/>
      <c r="I4" s="289"/>
      <c r="J4" s="289"/>
      <c r="K4" s="290"/>
      <c r="L4" s="80"/>
      <c r="M4" s="80"/>
      <c r="N4" s="80"/>
      <c r="O4" s="80"/>
      <c r="P4" s="205"/>
      <c r="Q4" s="205"/>
      <c r="R4" s="205"/>
      <c r="S4" s="205"/>
      <c r="T4" s="205"/>
      <c r="U4" s="205"/>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row>
    <row r="5" spans="1:52" ht="15.75" customHeight="1" x14ac:dyDescent="0.25">
      <c r="A5" s="205"/>
      <c r="B5" s="291" t="s">
        <v>175</v>
      </c>
      <c r="C5" s="291"/>
      <c r="D5" s="292" t="s">
        <v>176</v>
      </c>
      <c r="E5" s="293"/>
      <c r="F5" s="293"/>
      <c r="G5" s="293"/>
      <c r="H5" s="293"/>
      <c r="I5" s="293"/>
      <c r="J5" s="293"/>
      <c r="K5" s="294"/>
      <c r="L5" s="207"/>
      <c r="M5" s="207"/>
      <c r="N5" s="207"/>
      <c r="O5" s="207"/>
      <c r="P5" s="205"/>
      <c r="Q5" s="205"/>
      <c r="R5" s="205"/>
      <c r="S5" s="205"/>
      <c r="T5" s="205"/>
      <c r="U5" s="205"/>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row>
    <row r="6" spans="1:52" ht="15.75" customHeight="1" x14ac:dyDescent="0.25">
      <c r="A6" s="205"/>
      <c r="B6" s="291" t="s">
        <v>177</v>
      </c>
      <c r="C6" s="291"/>
      <c r="D6" s="295">
        <v>43657</v>
      </c>
      <c r="E6" s="296"/>
      <c r="F6" s="296"/>
      <c r="G6" s="296"/>
      <c r="H6" s="296"/>
      <c r="I6" s="296"/>
      <c r="J6" s="296"/>
      <c r="K6" s="297"/>
      <c r="L6" s="207"/>
      <c r="M6" s="207"/>
      <c r="N6" s="207"/>
      <c r="O6" s="207"/>
      <c r="P6" s="205"/>
      <c r="Q6" s="205"/>
      <c r="R6" s="205"/>
      <c r="S6" s="205"/>
      <c r="T6" s="205"/>
      <c r="U6" s="205"/>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row>
    <row r="7" spans="1:52" x14ac:dyDescent="0.25">
      <c r="A7" s="205"/>
      <c r="B7" s="298" t="s">
        <v>18</v>
      </c>
      <c r="C7" s="299"/>
      <c r="D7" s="302" t="s">
        <v>178</v>
      </c>
      <c r="E7" s="303"/>
      <c r="F7" s="303"/>
      <c r="G7" s="303"/>
      <c r="H7" s="303"/>
      <c r="I7" s="303"/>
      <c r="J7" s="303"/>
      <c r="K7" s="304"/>
      <c r="L7" s="208"/>
      <c r="M7" s="208"/>
      <c r="N7" s="208"/>
      <c r="O7" s="208"/>
      <c r="P7" s="205"/>
      <c r="Q7" s="205"/>
      <c r="R7" s="205"/>
      <c r="S7" s="205"/>
      <c r="T7" s="205"/>
      <c r="U7" s="205"/>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row>
    <row r="8" spans="1:52" ht="15.75" customHeight="1" x14ac:dyDescent="0.25">
      <c r="A8" s="205"/>
      <c r="B8" s="300"/>
      <c r="C8" s="301"/>
      <c r="D8" s="302" t="s">
        <v>179</v>
      </c>
      <c r="E8" s="303"/>
      <c r="F8" s="303"/>
      <c r="G8" s="303"/>
      <c r="H8" s="303"/>
      <c r="I8" s="303"/>
      <c r="J8" s="303"/>
      <c r="K8" s="304"/>
      <c r="L8" s="208"/>
      <c r="M8" s="208"/>
      <c r="N8" s="208"/>
      <c r="O8" s="208"/>
      <c r="P8" s="205"/>
      <c r="Q8" s="205"/>
      <c r="R8" s="205"/>
      <c r="S8" s="205"/>
      <c r="T8" s="205"/>
      <c r="U8" s="205"/>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row>
    <row r="9" spans="1:52" ht="15.75" customHeight="1" x14ac:dyDescent="0.25">
      <c r="A9" s="205"/>
      <c r="B9" s="317" t="s">
        <v>22</v>
      </c>
      <c r="C9" s="317"/>
      <c r="D9" s="318" t="s">
        <v>180</v>
      </c>
      <c r="E9" s="319"/>
      <c r="F9" s="319"/>
      <c r="G9" s="319"/>
      <c r="H9" s="319"/>
      <c r="I9" s="319"/>
      <c r="J9" s="319"/>
      <c r="K9" s="320"/>
      <c r="L9" s="79"/>
      <c r="M9" s="79"/>
      <c r="N9" s="79"/>
      <c r="O9" s="79"/>
      <c r="P9" s="205"/>
      <c r="Q9" s="205"/>
      <c r="R9" s="205"/>
      <c r="S9" s="205"/>
      <c r="T9" s="205"/>
      <c r="U9" s="205"/>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row>
    <row r="10" spans="1:52" ht="15.75" customHeight="1" x14ac:dyDescent="0.25">
      <c r="A10" s="205"/>
      <c r="B10" s="317" t="s">
        <v>24</v>
      </c>
      <c r="C10" s="317"/>
      <c r="D10" s="318" t="s">
        <v>181</v>
      </c>
      <c r="E10" s="319"/>
      <c r="F10" s="319"/>
      <c r="G10" s="319"/>
      <c r="H10" s="319"/>
      <c r="I10" s="319"/>
      <c r="J10" s="319"/>
      <c r="K10" s="320"/>
      <c r="L10" s="207"/>
      <c r="M10" s="207"/>
      <c r="N10" s="207"/>
      <c r="O10" s="207"/>
      <c r="P10" s="205"/>
      <c r="Q10" s="205"/>
      <c r="R10" s="205"/>
      <c r="S10" s="205"/>
      <c r="T10" s="205"/>
      <c r="U10" s="205"/>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row>
    <row r="11" spans="1:52" ht="409.5" x14ac:dyDescent="0.25">
      <c r="A11" s="205"/>
      <c r="B11" s="321" t="s">
        <v>27</v>
      </c>
      <c r="C11" s="321"/>
      <c r="D11" s="322" t="s">
        <v>182</v>
      </c>
      <c r="E11" s="323"/>
      <c r="F11" s="323"/>
      <c r="G11" s="323"/>
      <c r="H11" s="323"/>
      <c r="I11" s="323"/>
      <c r="J11" s="323"/>
      <c r="K11" s="324"/>
      <c r="L11" s="208"/>
      <c r="M11" s="208"/>
      <c r="N11" s="208"/>
      <c r="O11" s="208"/>
      <c r="P11" s="205"/>
      <c r="Q11" s="205"/>
      <c r="R11" s="205"/>
      <c r="S11" s="205"/>
      <c r="T11" s="205"/>
      <c r="U11" s="205"/>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113" t="str">
        <f>D11</f>
        <v>Solar photovoltaic (PV) systems convert solar irradiation into electricity. Various types of solar conversion technology types are currently on the market, each differing in terms of costs and efficiency. Examples of such variants comprise crystalline and multi-crystalline silicon PV (mainstream technology), as well as thin film PV (less common technology). This factsheet for solar PV focuses on mainstream technology. 
The solar modules generate direct current (DC). The DC might be used for off-grid applications, combined with an electricity storage system (a battery), however these systems will not be addressed in this factsheet: off-grid systems are considered niche markets where different pricing mechanisms occur. The major contribution for the Netherlands is expected to be in grid-connected systems. In these, DC from the modules is converted to alternating current (AC) by an inverter. 
A PV mounting structure allows to fix the panels in the right position: usually a fixed tilt angle and a fixed orientation, although sun-tracking systems are also possible (but in the Netherlands currently more expensive in terms of electricity generation costs). There are three main spatial layouts: firstly a south-facing system, tilted at 30 to 40 degrees, for high energy generation during the year, characterised by high power peaks (at noon) during summer. Secondly, systems may be oriented towards both east and west at a smaller tilt. Advantages of these systems are that more peak capacity can be installed on the available surface (higher kWp/m2) and that the power peak during summer is smaller, with a more balanced power generation during the day as a result. For the Netherlands, these two layout variants are the most common, and both can be realised on rooftops and in field installations. Solar tracked systems comprise a third system type, which maximise electrity generation by actively adjusting the inclination angle and orientation. This type of system may be applied in solar fields, at a higher investment cost and more operational expenses, plus more land use due to the wider spatial requirements. 
Other variants of solar PV applications exist as well, such as floating PV or facade PV, integrated in buildings. These types generally are more expensive, although cost reductions are certainly to be expected. The photovoltaic module is an important component determining the total system cost, but as module costs have been decreasing rapidly over time its relative importance in system costs is reducing, and other components are getting more weight. Examples of other components are inverter costs, construction material and installation labour. This latter component is an important factor, which can be reduced by increasing the project scale and by moving from rooftop to ground based installations. 
To estimate PV potentials, multiple methods exist, from bottom-up to top-down approaches. Bottom line however is that a large potential is existing, and possibly that system balancing constraints are more limiting than physical space. 
In the technology factsheets, five solar PV system types will be addressed: household rooftop systems (typically 2-10 kWp, on sloped roofs or on flat roofs), large rooftop systems (reference size 250 kWp, generally flat roofs), multi-MW rooftop systems (reference size 5 MWp, flat roofs) and multi-MW solar PV fields (reference size 10 MWp, ground-based). Also, floating PV is addressed indicatively. Note that for all layouts two orientations are defined: South and East/West. The difference lies in the respective value of the full-load hours and expenses for surface rents.
In this factsheet, data is presented for a typical 5 MWp system (approximately 19,000 modules), on a South-facing rooftop with a fixed tilt, inclined.</v>
      </c>
    </row>
    <row r="12" spans="1:52" ht="15.75" customHeight="1" x14ac:dyDescent="0.25">
      <c r="A12" s="205"/>
      <c r="B12" s="305" t="s">
        <v>183</v>
      </c>
      <c r="C12" s="305"/>
      <c r="D12" s="306" t="s">
        <v>34</v>
      </c>
      <c r="E12" s="296"/>
      <c r="F12" s="296"/>
      <c r="G12" s="296"/>
      <c r="H12" s="296"/>
      <c r="I12" s="296"/>
      <c r="J12" s="296"/>
      <c r="K12" s="297"/>
      <c r="L12" s="207"/>
      <c r="M12" s="207"/>
      <c r="N12" s="207"/>
      <c r="O12" s="207"/>
      <c r="P12" s="205"/>
      <c r="Q12" s="205"/>
      <c r="R12" s="205"/>
      <c r="S12" s="205"/>
      <c r="T12" s="205"/>
      <c r="U12" s="205"/>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row>
    <row r="13" spans="1:52" ht="49.5" customHeight="1" x14ac:dyDescent="0.25">
      <c r="A13" s="205"/>
      <c r="B13" s="305"/>
      <c r="C13" s="305"/>
      <c r="D13" s="307" t="s">
        <v>184</v>
      </c>
      <c r="E13" s="308"/>
      <c r="F13" s="308"/>
      <c r="G13" s="308"/>
      <c r="H13" s="308"/>
      <c r="I13" s="308"/>
      <c r="J13" s="308"/>
      <c r="K13" s="309"/>
      <c r="L13" s="208"/>
      <c r="M13" s="208"/>
      <c r="N13" s="208"/>
      <c r="O13" s="208"/>
      <c r="P13" s="205"/>
      <c r="Q13" s="205"/>
      <c r="R13" s="205"/>
      <c r="S13" s="205"/>
      <c r="T13" s="205"/>
      <c r="U13" s="205"/>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113" t="str">
        <f>D13</f>
        <v>Many systems are operational worldwide. See CBS (2018) for the Dutch realisations.</v>
      </c>
    </row>
    <row r="14" spans="1:52" ht="21" customHeight="1" x14ac:dyDescent="0.25">
      <c r="A14" s="205"/>
      <c r="B14" s="288" t="s">
        <v>52</v>
      </c>
      <c r="C14" s="289"/>
      <c r="D14" s="289"/>
      <c r="E14" s="289"/>
      <c r="F14" s="289"/>
      <c r="G14" s="289"/>
      <c r="H14" s="289"/>
      <c r="I14" s="289"/>
      <c r="J14" s="289"/>
      <c r="K14" s="290"/>
      <c r="L14" s="80"/>
      <c r="M14" s="80"/>
      <c r="N14" s="80"/>
      <c r="O14" s="80"/>
      <c r="P14" s="205"/>
      <c r="Q14" s="205"/>
      <c r="R14" s="205"/>
      <c r="S14" s="205"/>
      <c r="T14" s="205"/>
      <c r="U14" s="205"/>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row>
    <row r="15" spans="1:52" ht="15" customHeight="1" x14ac:dyDescent="0.25">
      <c r="A15" s="205"/>
      <c r="B15" s="310" t="s">
        <v>53</v>
      </c>
      <c r="C15" s="310"/>
      <c r="D15" s="311" t="s">
        <v>593</v>
      </c>
      <c r="E15" s="312"/>
      <c r="F15" s="312"/>
      <c r="G15" s="312"/>
      <c r="H15" s="312"/>
      <c r="I15" s="312"/>
      <c r="J15" s="312"/>
      <c r="K15" s="313"/>
      <c r="L15" s="80"/>
      <c r="M15" s="80"/>
      <c r="N15" s="80"/>
      <c r="O15" s="80"/>
      <c r="P15" s="205"/>
      <c r="Q15" s="205"/>
      <c r="R15" s="205"/>
      <c r="S15" s="205"/>
      <c r="T15" s="205"/>
      <c r="U15" s="205"/>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row>
    <row r="16" spans="1:52" ht="15" customHeight="1" x14ac:dyDescent="0.25">
      <c r="A16" s="205"/>
      <c r="B16" s="310"/>
      <c r="C16" s="310"/>
      <c r="D16" s="314"/>
      <c r="E16" s="315"/>
      <c r="F16" s="315"/>
      <c r="G16" s="315"/>
      <c r="H16" s="315"/>
      <c r="I16" s="315"/>
      <c r="J16" s="315"/>
      <c r="K16" s="316"/>
      <c r="L16" s="80"/>
      <c r="M16" s="80"/>
      <c r="N16" s="80"/>
      <c r="O16" s="80"/>
      <c r="P16" s="205"/>
      <c r="Q16" s="205"/>
      <c r="R16" s="205"/>
      <c r="S16" s="205"/>
      <c r="T16" s="205"/>
      <c r="U16" s="205"/>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row>
    <row r="17" spans="1:21" x14ac:dyDescent="0.25">
      <c r="A17" s="205"/>
      <c r="B17" s="339"/>
      <c r="C17" s="339"/>
      <c r="D17" s="340" t="s">
        <v>186</v>
      </c>
      <c r="E17" s="340"/>
      <c r="F17" s="340"/>
      <c r="G17" s="198" t="s">
        <v>187</v>
      </c>
      <c r="H17" s="198" t="s">
        <v>188</v>
      </c>
      <c r="I17" s="198" t="s">
        <v>189</v>
      </c>
      <c r="J17" s="198" t="s">
        <v>190</v>
      </c>
      <c r="K17" s="198" t="s">
        <v>191</v>
      </c>
      <c r="L17" s="81"/>
      <c r="M17" s="81"/>
      <c r="N17" s="81"/>
      <c r="O17" s="81"/>
      <c r="P17" s="205"/>
      <c r="Q17" s="205"/>
      <c r="R17" s="205"/>
      <c r="S17" s="205"/>
      <c r="T17" s="205"/>
      <c r="U17" s="205"/>
    </row>
    <row r="18" spans="1:21" ht="15.75" customHeight="1" x14ac:dyDescent="0.25">
      <c r="A18" s="205"/>
      <c r="B18" s="310" t="s">
        <v>57</v>
      </c>
      <c r="C18" s="310"/>
      <c r="D18" s="341" t="str">
        <f>IF(D15="Please select","Select Functional Unit above",D15)</f>
        <v>kW</v>
      </c>
      <c r="E18" s="341"/>
      <c r="F18" s="341"/>
      <c r="G18" s="177">
        <v>5000</v>
      </c>
      <c r="H18" s="181">
        <v>5000</v>
      </c>
      <c r="I18" s="97"/>
      <c r="J18" s="97"/>
      <c r="K18" s="97"/>
      <c r="L18" s="82"/>
      <c r="M18" s="82"/>
      <c r="N18" s="82"/>
      <c r="O18" s="82"/>
      <c r="P18" s="205"/>
      <c r="Q18" s="205"/>
      <c r="R18" s="205"/>
      <c r="S18" s="205"/>
      <c r="T18" s="205"/>
      <c r="U18" s="205"/>
    </row>
    <row r="19" spans="1:21" ht="15.75" customHeight="1" x14ac:dyDescent="0.25">
      <c r="A19" s="205"/>
      <c r="B19" s="310"/>
      <c r="C19" s="310"/>
      <c r="D19" s="341"/>
      <c r="E19" s="341"/>
      <c r="F19" s="341"/>
      <c r="G19" s="108" t="str">
        <f>H19</f>
        <v>PBL 2019</v>
      </c>
      <c r="H19" s="108" t="s">
        <v>192</v>
      </c>
      <c r="I19" s="108" t="s">
        <v>193</v>
      </c>
      <c r="J19" s="108" t="s">
        <v>193</v>
      </c>
      <c r="K19" s="108" t="s">
        <v>193</v>
      </c>
      <c r="L19" s="82"/>
      <c r="M19" s="82"/>
      <c r="N19" s="82"/>
      <c r="O19" s="82"/>
      <c r="P19" s="205"/>
      <c r="Q19" s="205"/>
      <c r="R19" s="205"/>
      <c r="S19" s="205"/>
      <c r="T19" s="205"/>
      <c r="U19" s="205"/>
    </row>
    <row r="20" spans="1:21" ht="15.75" customHeight="1" x14ac:dyDescent="0.25">
      <c r="A20" s="205"/>
      <c r="B20" s="339"/>
      <c r="C20" s="339"/>
      <c r="D20" s="342" t="s">
        <v>194</v>
      </c>
      <c r="E20" s="343"/>
      <c r="F20" s="200" t="s">
        <v>195</v>
      </c>
      <c r="G20" s="325" t="s">
        <v>196</v>
      </c>
      <c r="H20" s="325"/>
      <c r="I20" s="325"/>
      <c r="J20" s="325"/>
      <c r="K20" s="325"/>
      <c r="L20" s="350">
        <v>2030</v>
      </c>
      <c r="M20" s="350"/>
      <c r="N20" s="350"/>
      <c r="O20" s="350"/>
      <c r="P20" s="350"/>
      <c r="Q20" s="325">
        <v>2050</v>
      </c>
      <c r="R20" s="325"/>
      <c r="S20" s="325"/>
      <c r="T20" s="325"/>
      <c r="U20" s="325"/>
    </row>
    <row r="21" spans="1:21" ht="15.75" customHeight="1" x14ac:dyDescent="0.25">
      <c r="A21" s="205"/>
      <c r="B21" s="326" t="s">
        <v>62</v>
      </c>
      <c r="C21" s="327"/>
      <c r="D21" s="332" t="s">
        <v>197</v>
      </c>
      <c r="E21" s="333"/>
      <c r="F21" s="336" t="s">
        <v>667</v>
      </c>
      <c r="G21" s="198" t="s">
        <v>187</v>
      </c>
      <c r="H21" s="198" t="s">
        <v>188</v>
      </c>
      <c r="I21" s="198" t="s">
        <v>189</v>
      </c>
      <c r="J21" s="198" t="s">
        <v>190</v>
      </c>
      <c r="K21" s="198" t="s">
        <v>191</v>
      </c>
      <c r="L21" s="199" t="s">
        <v>187</v>
      </c>
      <c r="M21" s="199" t="s">
        <v>188</v>
      </c>
      <c r="N21" s="199" t="s">
        <v>189</v>
      </c>
      <c r="O21" s="199" t="s">
        <v>190</v>
      </c>
      <c r="P21" s="199" t="s">
        <v>191</v>
      </c>
      <c r="Q21" s="198" t="s">
        <v>187</v>
      </c>
      <c r="R21" s="198" t="s">
        <v>188</v>
      </c>
      <c r="S21" s="198" t="s">
        <v>189</v>
      </c>
      <c r="T21" s="198" t="s">
        <v>190</v>
      </c>
      <c r="U21" s="198" t="s">
        <v>191</v>
      </c>
    </row>
    <row r="22" spans="1:21" ht="15" customHeight="1" x14ac:dyDescent="0.25">
      <c r="A22" s="205"/>
      <c r="B22" s="328"/>
      <c r="C22" s="329"/>
      <c r="D22" s="334"/>
      <c r="E22" s="335"/>
      <c r="F22" s="337"/>
      <c r="G22" s="177">
        <v>1</v>
      </c>
      <c r="H22" s="97"/>
      <c r="I22" s="97"/>
      <c r="J22" s="97"/>
      <c r="K22" s="97"/>
      <c r="L22" s="178">
        <v>3</v>
      </c>
      <c r="M22" s="107"/>
      <c r="N22" s="107"/>
      <c r="O22" s="107"/>
      <c r="P22" s="107"/>
      <c r="Q22" s="178">
        <v>10</v>
      </c>
      <c r="R22" s="107"/>
      <c r="S22" s="107"/>
      <c r="T22" s="107"/>
      <c r="U22" s="107"/>
    </row>
    <row r="23" spans="1:21" x14ac:dyDescent="0.25">
      <c r="A23" s="205"/>
      <c r="B23" s="330"/>
      <c r="C23" s="331"/>
      <c r="D23" s="334"/>
      <c r="E23" s="335"/>
      <c r="F23" s="338"/>
      <c r="G23" s="154" t="s">
        <v>198</v>
      </c>
      <c r="H23" s="108"/>
      <c r="I23" s="108" t="s">
        <v>193</v>
      </c>
      <c r="J23" s="108" t="s">
        <v>193</v>
      </c>
      <c r="K23" s="108" t="s">
        <v>193</v>
      </c>
      <c r="L23" s="154" t="s">
        <v>198</v>
      </c>
      <c r="M23" s="108"/>
      <c r="N23" s="108" t="s">
        <v>193</v>
      </c>
      <c r="O23" s="108" t="s">
        <v>193</v>
      </c>
      <c r="P23" s="108" t="s">
        <v>193</v>
      </c>
      <c r="Q23" s="154" t="s">
        <v>198</v>
      </c>
      <c r="R23" s="108"/>
      <c r="S23" s="108" t="s">
        <v>193</v>
      </c>
      <c r="T23" s="108" t="s">
        <v>193</v>
      </c>
      <c r="U23" s="108" t="s">
        <v>193</v>
      </c>
    </row>
    <row r="24" spans="1:21" ht="15.75" customHeight="1" x14ac:dyDescent="0.25">
      <c r="A24" s="205"/>
      <c r="B24" s="310" t="s">
        <v>199</v>
      </c>
      <c r="C24" s="310"/>
      <c r="D24" s="311" t="s">
        <v>200</v>
      </c>
      <c r="E24" s="313"/>
      <c r="F24" s="344" t="s">
        <v>201</v>
      </c>
      <c r="G24" s="98"/>
      <c r="H24" s="97"/>
      <c r="I24" s="97"/>
      <c r="J24" s="97"/>
      <c r="K24" s="97"/>
      <c r="L24" s="96"/>
      <c r="M24" s="107"/>
      <c r="N24" s="107"/>
      <c r="O24" s="107"/>
      <c r="P24" s="107"/>
      <c r="Q24" s="96"/>
      <c r="R24" s="107"/>
      <c r="S24" s="107"/>
      <c r="T24" s="107"/>
      <c r="U24" s="107"/>
    </row>
    <row r="25" spans="1:21" ht="15.75" customHeight="1" x14ac:dyDescent="0.25">
      <c r="A25" s="205"/>
      <c r="B25" s="310"/>
      <c r="C25" s="310"/>
      <c r="D25" s="314"/>
      <c r="E25" s="316"/>
      <c r="F25" s="345"/>
      <c r="G25" s="108" t="s">
        <v>193</v>
      </c>
      <c r="H25" s="108" t="s">
        <v>193</v>
      </c>
      <c r="I25" s="108" t="s">
        <v>193</v>
      </c>
      <c r="J25" s="108" t="s">
        <v>193</v>
      </c>
      <c r="K25" s="108" t="s">
        <v>193</v>
      </c>
      <c r="L25" s="108" t="s">
        <v>193</v>
      </c>
      <c r="M25" s="108" t="s">
        <v>193</v>
      </c>
      <c r="N25" s="108" t="s">
        <v>193</v>
      </c>
      <c r="O25" s="108" t="s">
        <v>193</v>
      </c>
      <c r="P25" s="108" t="s">
        <v>193</v>
      </c>
      <c r="Q25" s="108" t="s">
        <v>193</v>
      </c>
      <c r="R25" s="108" t="s">
        <v>193</v>
      </c>
      <c r="S25" s="108" t="s">
        <v>193</v>
      </c>
      <c r="T25" s="108" t="s">
        <v>193</v>
      </c>
      <c r="U25" s="108" t="s">
        <v>193</v>
      </c>
    </row>
    <row r="26" spans="1:21" x14ac:dyDescent="0.25">
      <c r="A26" s="205"/>
      <c r="B26" s="346" t="s">
        <v>71</v>
      </c>
      <c r="C26" s="346"/>
      <c r="D26" s="347">
        <v>1</v>
      </c>
      <c r="E26" s="348"/>
      <c r="F26" s="348"/>
      <c r="G26" s="348"/>
      <c r="H26" s="348"/>
      <c r="I26" s="348"/>
      <c r="J26" s="348"/>
      <c r="K26" s="349"/>
      <c r="L26" s="84"/>
      <c r="M26" s="84"/>
      <c r="N26" s="84"/>
      <c r="O26" s="84"/>
      <c r="P26" s="205"/>
      <c r="Q26" s="205"/>
      <c r="R26" s="205"/>
      <c r="S26" s="205"/>
      <c r="T26" s="205"/>
      <c r="U26" s="205"/>
    </row>
    <row r="27" spans="1:21" x14ac:dyDescent="0.25">
      <c r="A27" s="205"/>
      <c r="B27" s="346" t="s">
        <v>74</v>
      </c>
      <c r="C27" s="346"/>
      <c r="D27" s="347">
        <v>920</v>
      </c>
      <c r="E27" s="348"/>
      <c r="F27" s="348"/>
      <c r="G27" s="348"/>
      <c r="H27" s="348"/>
      <c r="I27" s="348"/>
      <c r="J27" s="348"/>
      <c r="K27" s="349"/>
      <c r="L27" s="84"/>
      <c r="M27" s="84"/>
      <c r="N27" s="84"/>
      <c r="O27" s="84"/>
      <c r="P27" s="205"/>
      <c r="Q27" s="205"/>
      <c r="R27" s="205"/>
      <c r="S27" s="205"/>
      <c r="T27" s="205"/>
      <c r="U27" s="205"/>
    </row>
    <row r="28" spans="1:21" ht="15" customHeight="1" x14ac:dyDescent="0.25">
      <c r="A28" s="205"/>
      <c r="B28" s="346" t="s">
        <v>76</v>
      </c>
      <c r="C28" s="346"/>
      <c r="D28" s="292" t="s">
        <v>202</v>
      </c>
      <c r="E28" s="293"/>
      <c r="F28" s="293"/>
      <c r="G28" s="293"/>
      <c r="H28" s="293"/>
      <c r="I28" s="293"/>
      <c r="J28" s="293"/>
      <c r="K28" s="294"/>
      <c r="L28" s="84"/>
      <c r="M28" s="84"/>
      <c r="N28" s="84"/>
      <c r="O28" s="84"/>
      <c r="P28" s="205"/>
      <c r="Q28" s="205"/>
      <c r="R28" s="205"/>
      <c r="S28" s="205"/>
      <c r="T28" s="205"/>
      <c r="U28" s="205"/>
    </row>
    <row r="29" spans="1:21" ht="15.75" customHeight="1" x14ac:dyDescent="0.25">
      <c r="A29" s="205"/>
      <c r="B29" s="346" t="s">
        <v>79</v>
      </c>
      <c r="C29" s="346"/>
      <c r="D29" s="347" t="s">
        <v>203</v>
      </c>
      <c r="E29" s="348"/>
      <c r="F29" s="348"/>
      <c r="G29" s="348"/>
      <c r="H29" s="348"/>
      <c r="I29" s="348"/>
      <c r="J29" s="348"/>
      <c r="K29" s="349"/>
      <c r="L29" s="83"/>
      <c r="M29" s="83"/>
      <c r="N29" s="83"/>
      <c r="O29" s="83"/>
      <c r="P29" s="205"/>
      <c r="Q29" s="205"/>
      <c r="R29" s="205"/>
      <c r="S29" s="205"/>
      <c r="T29" s="205"/>
      <c r="U29" s="205"/>
    </row>
    <row r="30" spans="1:21" x14ac:dyDescent="0.25">
      <c r="A30" s="205"/>
      <c r="B30" s="346" t="s">
        <v>84</v>
      </c>
      <c r="C30" s="346"/>
      <c r="D30" s="347">
        <v>25</v>
      </c>
      <c r="E30" s="348"/>
      <c r="F30" s="348"/>
      <c r="G30" s="348"/>
      <c r="H30" s="348"/>
      <c r="I30" s="348"/>
      <c r="J30" s="348"/>
      <c r="K30" s="349"/>
      <c r="L30" s="84"/>
      <c r="M30" s="84"/>
      <c r="N30" s="84"/>
      <c r="O30" s="84"/>
      <c r="P30" s="205"/>
      <c r="Q30" s="205"/>
      <c r="R30" s="205"/>
      <c r="S30" s="205"/>
      <c r="T30" s="205"/>
      <c r="U30" s="205"/>
    </row>
    <row r="31" spans="1:21" x14ac:dyDescent="0.25">
      <c r="A31" s="205"/>
      <c r="B31" s="346" t="s">
        <v>86</v>
      </c>
      <c r="C31" s="346"/>
      <c r="D31" s="347" t="s">
        <v>203</v>
      </c>
      <c r="E31" s="348"/>
      <c r="F31" s="348"/>
      <c r="G31" s="348"/>
      <c r="H31" s="348"/>
      <c r="I31" s="348"/>
      <c r="J31" s="348"/>
      <c r="K31" s="349"/>
      <c r="L31" s="84"/>
      <c r="M31" s="84"/>
      <c r="N31" s="84"/>
      <c r="O31" s="84"/>
      <c r="P31" s="205"/>
      <c r="Q31" s="205"/>
      <c r="R31" s="205"/>
      <c r="S31" s="205"/>
      <c r="T31" s="205"/>
      <c r="U31" s="205"/>
    </row>
    <row r="32" spans="1:21" x14ac:dyDescent="0.25">
      <c r="A32" s="205"/>
      <c r="B32" s="346" t="s">
        <v>88</v>
      </c>
      <c r="C32" s="346"/>
      <c r="D32" s="292" t="s">
        <v>204</v>
      </c>
      <c r="E32" s="293"/>
      <c r="F32" s="293"/>
      <c r="G32" s="293"/>
      <c r="H32" s="293"/>
      <c r="I32" s="293"/>
      <c r="J32" s="293"/>
      <c r="K32" s="294"/>
      <c r="L32" s="84"/>
      <c r="M32" s="84"/>
      <c r="N32" s="84"/>
      <c r="O32" s="84"/>
      <c r="P32" s="205"/>
      <c r="Q32" s="205"/>
      <c r="R32" s="205"/>
      <c r="S32" s="205"/>
      <c r="T32" s="205"/>
      <c r="U32" s="205"/>
    </row>
    <row r="33" spans="1:53" ht="240" x14ac:dyDescent="0.25">
      <c r="A33" s="205"/>
      <c r="B33" s="310" t="s">
        <v>205</v>
      </c>
      <c r="C33" s="310"/>
      <c r="D33" s="322" t="s">
        <v>206</v>
      </c>
      <c r="E33" s="323"/>
      <c r="F33" s="323"/>
      <c r="G33" s="323"/>
      <c r="H33" s="323"/>
      <c r="I33" s="323"/>
      <c r="J33" s="323"/>
      <c r="K33" s="324"/>
      <c r="L33" s="208"/>
      <c r="M33" s="208"/>
      <c r="N33" s="208"/>
      <c r="O33" s="208"/>
      <c r="P33" s="205"/>
      <c r="Q33" s="205"/>
      <c r="R33" s="205"/>
      <c r="S33" s="205"/>
      <c r="T33" s="205"/>
      <c r="U33" s="205"/>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113" t="str">
        <f>D33</f>
        <v>The reference system assumed here is a 5 MWp system on a flat roof in utility buildings. 
The total PV installations for 2020 are assumed to represent around 8 GWp, based on the latest CBS figures (4,3 GWp for 2018), with a continuing growth up to 2020. Note that all potential data have been broken down into capacity range sectors, and that this potential may be filled either with South oriented systems, or with East/West oriented systems. For 2030, the assumed cumulative PV capacity potential in the Netherlands is 30 GWp, based on PBL (2019) (22 GWp on buildings) and Gasunie 2018 (8 GWp ground based potential). For the period up to 2050, the building sector may cover 66 GWp (50 TWh) of which 41 GWp in the residential sector and 25 GWp in the utility sector. Ground-based potential may amount to 34 GW (Gasunie 2018). Solar PV technology has been coming down rapidly in investment costs and electricity generation cost over the past years, and it is expected that it will continue to reduce further. 
The full-load hours are averaged over the lifetime. An annual efficiency degeneration of 0.64% makes that full-load hours for South-oriented systems decrease from 990 kWh/kWp in year 1 to 849 kWh/kWp in year 25 (rounded average: 920 kWh/kWp). For East/West-oriented systems, the reduction goes from 890 kWh/kWp in year 1 to 763 kWh/kWp in year 25 (rounded average: 820 kWh/kWp). The conversion efficiency improvement that is expected results in smaller modules for similar capacity ranges, which is one of the drivers for cost reduction.</v>
      </c>
    </row>
    <row r="34" spans="1:53" ht="21" customHeight="1" x14ac:dyDescent="0.25">
      <c r="A34" s="205"/>
      <c r="B34" s="356" t="s">
        <v>207</v>
      </c>
      <c r="C34" s="356"/>
      <c r="D34" s="356"/>
      <c r="E34" s="356"/>
      <c r="F34" s="356"/>
      <c r="G34" s="356"/>
      <c r="H34" s="356"/>
      <c r="I34" s="356"/>
      <c r="J34" s="356"/>
      <c r="K34" s="356"/>
      <c r="L34" s="356"/>
      <c r="M34" s="356"/>
      <c r="N34" s="356"/>
      <c r="O34" s="356"/>
      <c r="P34" s="356"/>
      <c r="Q34" s="356"/>
      <c r="R34" s="356"/>
      <c r="S34" s="356"/>
      <c r="T34" s="356"/>
      <c r="U34" s="35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row>
    <row r="35" spans="1:53" ht="15.75" customHeight="1" x14ac:dyDescent="0.25">
      <c r="A35" s="205"/>
      <c r="B35" s="357" t="s">
        <v>208</v>
      </c>
      <c r="C35" s="357"/>
      <c r="D35" s="357"/>
      <c r="E35" s="357"/>
      <c r="F35" s="357"/>
      <c r="G35" s="325" t="s">
        <v>196</v>
      </c>
      <c r="H35" s="325"/>
      <c r="I35" s="325"/>
      <c r="J35" s="325"/>
      <c r="K35" s="325"/>
      <c r="L35" s="350">
        <v>2030</v>
      </c>
      <c r="M35" s="350"/>
      <c r="N35" s="350"/>
      <c r="O35" s="350"/>
      <c r="P35" s="350"/>
      <c r="Q35" s="325">
        <v>2050</v>
      </c>
      <c r="R35" s="325"/>
      <c r="S35" s="325"/>
      <c r="T35" s="325"/>
      <c r="U35" s="325"/>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row>
    <row r="36" spans="1:53" ht="15.75" customHeight="1" x14ac:dyDescent="0.25">
      <c r="A36" s="205"/>
      <c r="B36" s="357"/>
      <c r="C36" s="357"/>
      <c r="D36" s="358"/>
      <c r="E36" s="358"/>
      <c r="F36" s="358"/>
      <c r="G36" s="198" t="s">
        <v>187</v>
      </c>
      <c r="H36" s="198" t="s">
        <v>188</v>
      </c>
      <c r="I36" s="198" t="s">
        <v>189</v>
      </c>
      <c r="J36" s="198" t="s">
        <v>190</v>
      </c>
      <c r="K36" s="198" t="s">
        <v>191</v>
      </c>
      <c r="L36" s="199" t="s">
        <v>187</v>
      </c>
      <c r="M36" s="199" t="s">
        <v>188</v>
      </c>
      <c r="N36" s="199" t="s">
        <v>189</v>
      </c>
      <c r="O36" s="199" t="s">
        <v>190</v>
      </c>
      <c r="P36" s="199" t="s">
        <v>191</v>
      </c>
      <c r="Q36" s="198" t="s">
        <v>187</v>
      </c>
      <c r="R36" s="198" t="s">
        <v>188</v>
      </c>
      <c r="S36" s="198" t="s">
        <v>189</v>
      </c>
      <c r="T36" s="198" t="s">
        <v>190</v>
      </c>
      <c r="U36" s="198" t="s">
        <v>191</v>
      </c>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row>
    <row r="37" spans="1:53" ht="15.75" customHeight="1" x14ac:dyDescent="0.25">
      <c r="A37" s="205"/>
      <c r="B37" s="305" t="s">
        <v>95</v>
      </c>
      <c r="C37" s="359"/>
      <c r="D37" s="351" t="s">
        <v>688</v>
      </c>
      <c r="E37" s="353" t="str">
        <f>IF(D15="Please select","Please select 'Functional Unit' above",D15)</f>
        <v>kW</v>
      </c>
      <c r="F37" s="354"/>
      <c r="G37" s="177">
        <v>654</v>
      </c>
      <c r="H37" s="248">
        <v>630</v>
      </c>
      <c r="I37" s="248">
        <v>678</v>
      </c>
      <c r="J37" s="248"/>
      <c r="K37" s="248"/>
      <c r="L37" s="177">
        <v>516</v>
      </c>
      <c r="M37" s="248">
        <v>460</v>
      </c>
      <c r="N37" s="248">
        <v>572</v>
      </c>
      <c r="O37" s="248"/>
      <c r="P37" s="248"/>
      <c r="Q37" s="177">
        <v>346</v>
      </c>
      <c r="R37" s="248">
        <v>231</v>
      </c>
      <c r="S37" s="248">
        <v>460</v>
      </c>
      <c r="T37" s="107"/>
      <c r="U37" s="107"/>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row>
    <row r="38" spans="1:53" x14ac:dyDescent="0.25">
      <c r="A38" s="205"/>
      <c r="B38" s="305"/>
      <c r="C38" s="359"/>
      <c r="D38" s="352"/>
      <c r="E38" s="355"/>
      <c r="F38" s="259"/>
      <c r="G38" s="249" t="s">
        <v>210</v>
      </c>
      <c r="H38" s="249" t="s">
        <v>210</v>
      </c>
      <c r="I38" s="249" t="s">
        <v>210</v>
      </c>
      <c r="J38" s="250" t="s">
        <v>193</v>
      </c>
      <c r="K38" s="250" t="s">
        <v>193</v>
      </c>
      <c r="L38" s="249" t="s">
        <v>211</v>
      </c>
      <c r="M38" s="249" t="s">
        <v>211</v>
      </c>
      <c r="N38" s="249" t="s">
        <v>211</v>
      </c>
      <c r="O38" s="250" t="s">
        <v>193</v>
      </c>
      <c r="P38" s="250" t="s">
        <v>193</v>
      </c>
      <c r="Q38" s="249" t="s">
        <v>211</v>
      </c>
      <c r="R38" s="249" t="s">
        <v>211</v>
      </c>
      <c r="S38" s="249" t="s">
        <v>211</v>
      </c>
      <c r="T38" s="108" t="s">
        <v>193</v>
      </c>
      <c r="U38" s="108" t="s">
        <v>193</v>
      </c>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row>
    <row r="39" spans="1:53" ht="15" customHeight="1" x14ac:dyDescent="0.25">
      <c r="A39" s="205"/>
      <c r="B39" s="305" t="s">
        <v>212</v>
      </c>
      <c r="C39" s="305"/>
      <c r="D39" s="351" t="s">
        <v>688</v>
      </c>
      <c r="E39" s="353" t="str">
        <f>IF(D15="Please select","Please select 'Functional Unit' above",D15)</f>
        <v>kW</v>
      </c>
      <c r="F39" s="354"/>
      <c r="G39" s="177">
        <v>7</v>
      </c>
      <c r="H39" s="248"/>
      <c r="I39" s="248"/>
      <c r="J39" s="248"/>
      <c r="K39" s="248"/>
      <c r="L39" s="177">
        <v>7</v>
      </c>
      <c r="M39" s="248"/>
      <c r="N39" s="248"/>
      <c r="O39" s="248"/>
      <c r="P39" s="248"/>
      <c r="Q39" s="177">
        <v>7</v>
      </c>
      <c r="R39" s="248"/>
      <c r="S39" s="248"/>
      <c r="T39" s="107"/>
      <c r="U39" s="107"/>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row>
    <row r="40" spans="1:53" ht="15" customHeight="1" x14ac:dyDescent="0.25">
      <c r="A40" s="205"/>
      <c r="B40" s="305"/>
      <c r="C40" s="305"/>
      <c r="D40" s="352"/>
      <c r="E40" s="355"/>
      <c r="F40" s="259"/>
      <c r="G40" s="246" t="s">
        <v>210</v>
      </c>
      <c r="H40" s="247" t="s">
        <v>193</v>
      </c>
      <c r="I40" s="247" t="s">
        <v>193</v>
      </c>
      <c r="J40" s="247" t="s">
        <v>193</v>
      </c>
      <c r="K40" s="247" t="s">
        <v>193</v>
      </c>
      <c r="L40" s="246" t="s">
        <v>210</v>
      </c>
      <c r="M40" s="247" t="s">
        <v>193</v>
      </c>
      <c r="N40" s="247" t="s">
        <v>193</v>
      </c>
      <c r="O40" s="247" t="s">
        <v>193</v>
      </c>
      <c r="P40" s="247" t="s">
        <v>193</v>
      </c>
      <c r="Q40" s="246" t="s">
        <v>210</v>
      </c>
      <c r="R40" s="108" t="s">
        <v>193</v>
      </c>
      <c r="S40" s="108" t="s">
        <v>193</v>
      </c>
      <c r="T40" s="108" t="s">
        <v>193</v>
      </c>
      <c r="U40" s="108" t="s">
        <v>193</v>
      </c>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row>
    <row r="41" spans="1:53" ht="15.75" customHeight="1" x14ac:dyDescent="0.25">
      <c r="A41" s="205"/>
      <c r="B41" s="305" t="s">
        <v>213</v>
      </c>
      <c r="C41" s="305"/>
      <c r="D41" s="351" t="s">
        <v>688</v>
      </c>
      <c r="E41" s="353" t="str">
        <f>IF(D13="Please select","Please select 'Functional Unit' above",D15)</f>
        <v>kW</v>
      </c>
      <c r="F41" s="354"/>
      <c r="G41" s="244">
        <v>13.1</v>
      </c>
      <c r="H41" s="245"/>
      <c r="I41" s="245"/>
      <c r="J41" s="245"/>
      <c r="K41" s="245"/>
      <c r="L41" s="244">
        <v>12.6</v>
      </c>
      <c r="M41" s="245"/>
      <c r="N41" s="245"/>
      <c r="O41" s="245"/>
      <c r="P41" s="245"/>
      <c r="Q41" s="244">
        <v>11.9</v>
      </c>
      <c r="R41" s="107"/>
      <c r="S41" s="107"/>
      <c r="T41" s="107"/>
      <c r="U41" s="107"/>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row>
    <row r="42" spans="1:53" ht="15" customHeight="1" x14ac:dyDescent="0.25">
      <c r="A42" s="205"/>
      <c r="B42" s="305"/>
      <c r="C42" s="305"/>
      <c r="D42" s="352"/>
      <c r="E42" s="355"/>
      <c r="F42" s="259"/>
      <c r="G42" s="109" t="s">
        <v>210</v>
      </c>
      <c r="H42" s="108" t="s">
        <v>193</v>
      </c>
      <c r="I42" s="108" t="s">
        <v>193</v>
      </c>
      <c r="J42" s="108" t="s">
        <v>193</v>
      </c>
      <c r="K42" s="108" t="s">
        <v>193</v>
      </c>
      <c r="L42" s="109" t="s">
        <v>210</v>
      </c>
      <c r="M42" s="108" t="s">
        <v>193</v>
      </c>
      <c r="N42" s="108" t="s">
        <v>193</v>
      </c>
      <c r="O42" s="108" t="s">
        <v>193</v>
      </c>
      <c r="P42" s="108" t="s">
        <v>193</v>
      </c>
      <c r="Q42" s="109" t="s">
        <v>210</v>
      </c>
      <c r="R42" s="108" t="s">
        <v>193</v>
      </c>
      <c r="S42" s="108" t="s">
        <v>193</v>
      </c>
      <c r="T42" s="108" t="s">
        <v>193</v>
      </c>
      <c r="U42" s="108" t="s">
        <v>193</v>
      </c>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row>
    <row r="43" spans="1:53" ht="14.45" customHeight="1" x14ac:dyDescent="0.25">
      <c r="A43" s="205"/>
      <c r="B43" s="305" t="s">
        <v>214</v>
      </c>
      <c r="C43" s="305"/>
      <c r="D43" s="351" t="s">
        <v>688</v>
      </c>
      <c r="E43" s="353" t="str">
        <f>IF(D15="Please select","Please select 'Activity Unit' above",D28)</f>
        <v>PJ/year</v>
      </c>
      <c r="F43" s="354"/>
      <c r="G43" s="98"/>
      <c r="H43" s="107"/>
      <c r="I43" s="107"/>
      <c r="J43" s="107"/>
      <c r="K43" s="107"/>
      <c r="L43" s="98"/>
      <c r="M43" s="107"/>
      <c r="N43" s="107"/>
      <c r="O43" s="107"/>
      <c r="P43" s="107"/>
      <c r="Q43" s="98"/>
      <c r="R43" s="107"/>
      <c r="S43" s="107"/>
      <c r="T43" s="107"/>
      <c r="U43" s="107"/>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row>
    <row r="44" spans="1:53" ht="15" customHeight="1" x14ac:dyDescent="0.25">
      <c r="A44" s="205"/>
      <c r="B44" s="305"/>
      <c r="C44" s="305"/>
      <c r="D44" s="352"/>
      <c r="E44" s="355"/>
      <c r="F44" s="259"/>
      <c r="G44" s="108" t="s">
        <v>193</v>
      </c>
      <c r="H44" s="108" t="s">
        <v>193</v>
      </c>
      <c r="I44" s="108" t="s">
        <v>193</v>
      </c>
      <c r="J44" s="108" t="s">
        <v>193</v>
      </c>
      <c r="K44" s="108" t="s">
        <v>193</v>
      </c>
      <c r="L44" s="108" t="s">
        <v>193</v>
      </c>
      <c r="M44" s="108" t="s">
        <v>193</v>
      </c>
      <c r="N44" s="108" t="s">
        <v>193</v>
      </c>
      <c r="O44" s="108" t="s">
        <v>193</v>
      </c>
      <c r="P44" s="108" t="s">
        <v>193</v>
      </c>
      <c r="Q44" s="108" t="s">
        <v>193</v>
      </c>
      <c r="R44" s="108" t="s">
        <v>193</v>
      </c>
      <c r="S44" s="108" t="s">
        <v>193</v>
      </c>
      <c r="T44" s="108" t="s">
        <v>193</v>
      </c>
      <c r="U44" s="108" t="s">
        <v>193</v>
      </c>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row>
    <row r="45" spans="1:53" ht="66" customHeight="1" x14ac:dyDescent="0.25">
      <c r="A45" s="205"/>
      <c r="B45" s="321" t="s">
        <v>215</v>
      </c>
      <c r="C45" s="321"/>
      <c r="D45" s="365" t="s">
        <v>216</v>
      </c>
      <c r="E45" s="365"/>
      <c r="F45" s="365"/>
      <c r="G45" s="365"/>
      <c r="H45" s="365"/>
      <c r="I45" s="365"/>
      <c r="J45" s="365"/>
      <c r="K45" s="365"/>
      <c r="L45" s="365"/>
      <c r="M45" s="365"/>
      <c r="N45" s="365"/>
      <c r="O45" s="365"/>
      <c r="P45" s="365"/>
      <c r="Q45" s="365"/>
      <c r="R45" s="365"/>
      <c r="S45" s="365"/>
      <c r="T45" s="365"/>
      <c r="U45" s="365"/>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BA45" s="113" t="str">
        <f>D45</f>
        <v>The investment costs are taken from public reports (PBL, 2018 and PBL, 2019). These studies aggregate multiple information sources and various checks are performed with market data. The range results from the cost estimates that are defined in seasonal intervals. 
Future costs were estimated by applying the projected cost decrease as reported in FhG-ISE (2015), albeit with a newly calibrated starting point for the year 2020, for which detailed estimates exist from SDE++ (2019). For comparison purposes: the widest investment cost range according to this report is 757-892 €2014/kWp in 2020 to 278-606 €2014/kWp by 2050. The fixed operational costs reported are taken from SDE++ 2020 (2019) and cover the O&amp;M, metering, insurance and taxes (time-dependent, correlated to investment cost development), connection costs. 
Under 'Other costs' some of the  cost components missing in the SDE+ were added: costs for societal support, asset management and land or roof lease (these three cost components are not considered in SDE+, which is a result of the chosen system boundaries of the scheme). 
All information is based on publicly available data.</v>
      </c>
    </row>
    <row r="46" spans="1:53" ht="21" customHeight="1" x14ac:dyDescent="0.25">
      <c r="A46" s="205"/>
      <c r="B46" s="356" t="s">
        <v>109</v>
      </c>
      <c r="C46" s="356"/>
      <c r="D46" s="356"/>
      <c r="E46" s="356"/>
      <c r="F46" s="356"/>
      <c r="G46" s="356"/>
      <c r="H46" s="356"/>
      <c r="I46" s="356"/>
      <c r="J46" s="356"/>
      <c r="K46" s="356"/>
      <c r="L46" s="356"/>
      <c r="M46" s="356"/>
      <c r="N46" s="356"/>
      <c r="O46" s="356"/>
      <c r="P46" s="356"/>
      <c r="Q46" s="356"/>
      <c r="R46" s="356"/>
      <c r="S46" s="356"/>
      <c r="T46" s="356"/>
      <c r="U46" s="35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row>
    <row r="47" spans="1:53" ht="15.75" customHeight="1" x14ac:dyDescent="0.25">
      <c r="A47" s="205"/>
      <c r="B47" s="360" t="s">
        <v>217</v>
      </c>
      <c r="C47" s="361"/>
      <c r="D47" s="364" t="s">
        <v>218</v>
      </c>
      <c r="E47" s="364"/>
      <c r="F47" s="364" t="s">
        <v>195</v>
      </c>
      <c r="G47" s="325" t="s">
        <v>196</v>
      </c>
      <c r="H47" s="325"/>
      <c r="I47" s="325"/>
      <c r="J47" s="325"/>
      <c r="K47" s="325"/>
      <c r="L47" s="350">
        <v>2030</v>
      </c>
      <c r="M47" s="350"/>
      <c r="N47" s="350"/>
      <c r="O47" s="350"/>
      <c r="P47" s="350"/>
      <c r="Q47" s="325">
        <v>2050</v>
      </c>
      <c r="R47" s="325"/>
      <c r="S47" s="325"/>
      <c r="T47" s="325"/>
      <c r="U47" s="325"/>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row>
    <row r="48" spans="1:53" x14ac:dyDescent="0.25">
      <c r="A48" s="205"/>
      <c r="B48" s="362"/>
      <c r="C48" s="363"/>
      <c r="D48" s="364"/>
      <c r="E48" s="364"/>
      <c r="F48" s="364"/>
      <c r="G48" s="198" t="s">
        <v>187</v>
      </c>
      <c r="H48" s="198" t="s">
        <v>188</v>
      </c>
      <c r="I48" s="198" t="s">
        <v>189</v>
      </c>
      <c r="J48" s="198" t="s">
        <v>190</v>
      </c>
      <c r="K48" s="198" t="s">
        <v>191</v>
      </c>
      <c r="L48" s="199" t="s">
        <v>187</v>
      </c>
      <c r="M48" s="199" t="s">
        <v>188</v>
      </c>
      <c r="N48" s="199" t="s">
        <v>189</v>
      </c>
      <c r="O48" s="199" t="s">
        <v>190</v>
      </c>
      <c r="P48" s="199" t="s">
        <v>191</v>
      </c>
      <c r="Q48" s="198" t="s">
        <v>187</v>
      </c>
      <c r="R48" s="198" t="s">
        <v>188</v>
      </c>
      <c r="S48" s="198" t="s">
        <v>189</v>
      </c>
      <c r="T48" s="198" t="s">
        <v>190</v>
      </c>
      <c r="U48" s="198" t="s">
        <v>191</v>
      </c>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row>
    <row r="49" spans="1:53" ht="15.75" customHeight="1" x14ac:dyDescent="0.25">
      <c r="A49" s="205"/>
      <c r="B49" s="366" t="s">
        <v>219</v>
      </c>
      <c r="C49" s="367"/>
      <c r="D49" s="372" t="s">
        <v>220</v>
      </c>
      <c r="E49" s="372"/>
      <c r="F49" s="373" t="s">
        <v>150</v>
      </c>
      <c r="G49" s="157">
        <v>-1</v>
      </c>
      <c r="H49" s="107"/>
      <c r="I49" s="107"/>
      <c r="J49" s="107"/>
      <c r="K49" s="107"/>
      <c r="L49" s="98">
        <v>-1</v>
      </c>
      <c r="M49" s="107"/>
      <c r="N49" s="107"/>
      <c r="O49" s="107"/>
      <c r="P49" s="107"/>
      <c r="Q49" s="98">
        <v>-1</v>
      </c>
      <c r="R49" s="107"/>
      <c r="S49" s="107"/>
      <c r="T49" s="107"/>
      <c r="U49" s="107"/>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row>
    <row r="50" spans="1:53" x14ac:dyDescent="0.25">
      <c r="A50" s="205"/>
      <c r="B50" s="368"/>
      <c r="C50" s="369"/>
      <c r="D50" s="372"/>
      <c r="E50" s="372"/>
      <c r="F50" s="373"/>
      <c r="G50" s="109" t="s">
        <v>193</v>
      </c>
      <c r="H50" s="108" t="s">
        <v>193</v>
      </c>
      <c r="I50" s="108" t="s">
        <v>193</v>
      </c>
      <c r="J50" s="108" t="s">
        <v>193</v>
      </c>
      <c r="K50" s="108" t="s">
        <v>193</v>
      </c>
      <c r="L50" s="109" t="s">
        <v>193</v>
      </c>
      <c r="M50" s="108" t="s">
        <v>193</v>
      </c>
      <c r="N50" s="108" t="s">
        <v>193</v>
      </c>
      <c r="O50" s="108" t="s">
        <v>193</v>
      </c>
      <c r="P50" s="108" t="s">
        <v>193</v>
      </c>
      <c r="Q50" s="109" t="s">
        <v>193</v>
      </c>
      <c r="R50" s="108" t="s">
        <v>193</v>
      </c>
      <c r="S50" s="108" t="s">
        <v>193</v>
      </c>
      <c r="T50" s="108" t="s">
        <v>193</v>
      </c>
      <c r="U50" s="108" t="s">
        <v>193</v>
      </c>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row>
    <row r="51" spans="1:53" ht="15" customHeight="1" x14ac:dyDescent="0.25">
      <c r="A51" s="205"/>
      <c r="B51" s="368"/>
      <c r="C51" s="369"/>
      <c r="D51" s="374" t="s">
        <v>221</v>
      </c>
      <c r="E51" s="375"/>
      <c r="F51" s="373" t="s">
        <v>150</v>
      </c>
      <c r="G51" s="98">
        <v>1</v>
      </c>
      <c r="H51" s="107"/>
      <c r="I51" s="107"/>
      <c r="J51" s="107"/>
      <c r="K51" s="107"/>
      <c r="L51" s="98">
        <v>1</v>
      </c>
      <c r="M51" s="107"/>
      <c r="N51" s="107"/>
      <c r="O51" s="107"/>
      <c r="P51" s="107"/>
      <c r="Q51" s="98">
        <v>1</v>
      </c>
      <c r="R51" s="107"/>
      <c r="S51" s="107"/>
      <c r="T51" s="107"/>
      <c r="U51" s="107"/>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row>
    <row r="52" spans="1:53" x14ac:dyDescent="0.25">
      <c r="A52" s="205"/>
      <c r="B52" s="368"/>
      <c r="C52" s="369"/>
      <c r="D52" s="376"/>
      <c r="E52" s="377"/>
      <c r="F52" s="373"/>
      <c r="G52" s="108" t="s">
        <v>193</v>
      </c>
      <c r="H52" s="108" t="s">
        <v>193</v>
      </c>
      <c r="I52" s="108" t="s">
        <v>193</v>
      </c>
      <c r="J52" s="108" t="s">
        <v>193</v>
      </c>
      <c r="K52" s="108" t="s">
        <v>193</v>
      </c>
      <c r="L52" s="108" t="s">
        <v>193</v>
      </c>
      <c r="M52" s="108" t="s">
        <v>193</v>
      </c>
      <c r="N52" s="108" t="s">
        <v>193</v>
      </c>
      <c r="O52" s="108" t="s">
        <v>193</v>
      </c>
      <c r="P52" s="108" t="s">
        <v>193</v>
      </c>
      <c r="Q52" s="108" t="s">
        <v>193</v>
      </c>
      <c r="R52" s="108" t="s">
        <v>193</v>
      </c>
      <c r="S52" s="108" t="s">
        <v>193</v>
      </c>
      <c r="T52" s="108" t="s">
        <v>193</v>
      </c>
      <c r="U52" s="108" t="s">
        <v>193</v>
      </c>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row>
    <row r="53" spans="1:53" x14ac:dyDescent="0.25">
      <c r="A53" s="205"/>
      <c r="B53" s="368"/>
      <c r="C53" s="369"/>
      <c r="D53" s="372" t="s">
        <v>204</v>
      </c>
      <c r="E53" s="372"/>
      <c r="F53" s="373" t="s">
        <v>150</v>
      </c>
      <c r="G53" s="98"/>
      <c r="H53" s="107"/>
      <c r="I53" s="107"/>
      <c r="J53" s="107"/>
      <c r="K53" s="107"/>
      <c r="L53" s="98"/>
      <c r="M53" s="107"/>
      <c r="N53" s="107"/>
      <c r="O53" s="107"/>
      <c r="P53" s="107"/>
      <c r="Q53" s="98"/>
      <c r="R53" s="107"/>
      <c r="S53" s="107"/>
      <c r="T53" s="107"/>
      <c r="U53" s="107"/>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row>
    <row r="54" spans="1:53" x14ac:dyDescent="0.25">
      <c r="A54" s="205"/>
      <c r="B54" s="368"/>
      <c r="C54" s="369"/>
      <c r="D54" s="372"/>
      <c r="E54" s="372"/>
      <c r="F54" s="373"/>
      <c r="G54" s="108" t="s">
        <v>193</v>
      </c>
      <c r="H54" s="108" t="s">
        <v>193</v>
      </c>
      <c r="I54" s="108" t="s">
        <v>193</v>
      </c>
      <c r="J54" s="108" t="s">
        <v>193</v>
      </c>
      <c r="K54" s="108" t="s">
        <v>193</v>
      </c>
      <c r="L54" s="108" t="s">
        <v>193</v>
      </c>
      <c r="M54" s="108" t="s">
        <v>193</v>
      </c>
      <c r="N54" s="108" t="s">
        <v>193</v>
      </c>
      <c r="O54" s="108" t="s">
        <v>193</v>
      </c>
      <c r="P54" s="108" t="s">
        <v>193</v>
      </c>
      <c r="Q54" s="108" t="s">
        <v>193</v>
      </c>
      <c r="R54" s="108" t="s">
        <v>193</v>
      </c>
      <c r="S54" s="108" t="s">
        <v>193</v>
      </c>
      <c r="T54" s="108" t="s">
        <v>193</v>
      </c>
      <c r="U54" s="108" t="s">
        <v>193</v>
      </c>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row>
    <row r="55" spans="1:53" x14ac:dyDescent="0.25">
      <c r="A55" s="205"/>
      <c r="B55" s="368"/>
      <c r="C55" s="369"/>
      <c r="D55" s="372" t="s">
        <v>204</v>
      </c>
      <c r="E55" s="372"/>
      <c r="F55" s="373" t="s">
        <v>150</v>
      </c>
      <c r="G55" s="98"/>
      <c r="H55" s="107"/>
      <c r="I55" s="107"/>
      <c r="J55" s="107"/>
      <c r="K55" s="107"/>
      <c r="L55" s="98"/>
      <c r="M55" s="107"/>
      <c r="N55" s="107"/>
      <c r="O55" s="107"/>
      <c r="P55" s="107"/>
      <c r="Q55" s="98"/>
      <c r="R55" s="107"/>
      <c r="S55" s="107"/>
      <c r="T55" s="107"/>
      <c r="U55" s="107"/>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row>
    <row r="56" spans="1:53" x14ac:dyDescent="0.25">
      <c r="A56" s="205"/>
      <c r="B56" s="370"/>
      <c r="C56" s="371"/>
      <c r="D56" s="372"/>
      <c r="E56" s="372"/>
      <c r="F56" s="373"/>
      <c r="G56" s="108" t="s">
        <v>193</v>
      </c>
      <c r="H56" s="108" t="s">
        <v>193</v>
      </c>
      <c r="I56" s="108" t="s">
        <v>193</v>
      </c>
      <c r="J56" s="108" t="s">
        <v>193</v>
      </c>
      <c r="K56" s="108" t="s">
        <v>193</v>
      </c>
      <c r="L56" s="108" t="s">
        <v>193</v>
      </c>
      <c r="M56" s="108" t="s">
        <v>193</v>
      </c>
      <c r="N56" s="108" t="s">
        <v>193</v>
      </c>
      <c r="O56" s="108" t="s">
        <v>193</v>
      </c>
      <c r="P56" s="108" t="s">
        <v>193</v>
      </c>
      <c r="Q56" s="108" t="s">
        <v>193</v>
      </c>
      <c r="R56" s="108" t="s">
        <v>193</v>
      </c>
      <c r="S56" s="108" t="s">
        <v>193</v>
      </c>
      <c r="T56" s="108" t="s">
        <v>193</v>
      </c>
      <c r="U56" s="108" t="s">
        <v>193</v>
      </c>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row>
    <row r="57" spans="1:53" ht="40.5" customHeight="1" x14ac:dyDescent="0.25">
      <c r="A57" s="205"/>
      <c r="B57" s="305" t="s">
        <v>222</v>
      </c>
      <c r="C57" s="305"/>
      <c r="D57" s="379" t="s">
        <v>223</v>
      </c>
      <c r="E57" s="379"/>
      <c r="F57" s="379"/>
      <c r="G57" s="379"/>
      <c r="H57" s="379"/>
      <c r="I57" s="379"/>
      <c r="J57" s="379"/>
      <c r="K57" s="379"/>
      <c r="L57" s="379"/>
      <c r="M57" s="379"/>
      <c r="N57" s="379"/>
      <c r="O57" s="379"/>
      <c r="P57" s="379"/>
      <c r="Q57" s="379"/>
      <c r="R57" s="379"/>
      <c r="S57" s="379"/>
      <c r="T57" s="379"/>
      <c r="U57" s="379"/>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BA57" s="113" t="str">
        <f>D57</f>
        <v>Solar in = 1 and electricity out = -1.</v>
      </c>
    </row>
    <row r="58" spans="1:53" ht="21" customHeight="1" x14ac:dyDescent="0.25">
      <c r="A58" s="205"/>
      <c r="B58" s="380" t="s">
        <v>224</v>
      </c>
      <c r="C58" s="381"/>
      <c r="D58" s="381"/>
      <c r="E58" s="381"/>
      <c r="F58" s="381"/>
      <c r="G58" s="381"/>
      <c r="H58" s="381"/>
      <c r="I58" s="381"/>
      <c r="J58" s="381"/>
      <c r="K58" s="381"/>
      <c r="L58" s="381"/>
      <c r="M58" s="381"/>
      <c r="N58" s="381"/>
      <c r="O58" s="381"/>
      <c r="P58" s="381"/>
      <c r="Q58" s="381"/>
      <c r="R58" s="381"/>
      <c r="S58" s="381"/>
      <c r="T58" s="381"/>
      <c r="U58" s="381"/>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row>
    <row r="59" spans="1:53" ht="16.5" customHeight="1" x14ac:dyDescent="0.25">
      <c r="A59" s="205"/>
      <c r="B59" s="366" t="s">
        <v>225</v>
      </c>
      <c r="C59" s="367"/>
      <c r="D59" s="382" t="s">
        <v>226</v>
      </c>
      <c r="E59" s="383"/>
      <c r="F59" s="386" t="s">
        <v>195</v>
      </c>
      <c r="G59" s="325" t="s">
        <v>196</v>
      </c>
      <c r="H59" s="325"/>
      <c r="I59" s="325"/>
      <c r="J59" s="325"/>
      <c r="K59" s="325"/>
      <c r="L59" s="350">
        <v>2030</v>
      </c>
      <c r="M59" s="350"/>
      <c r="N59" s="350"/>
      <c r="O59" s="350"/>
      <c r="P59" s="350"/>
      <c r="Q59" s="325">
        <v>2050</v>
      </c>
      <c r="R59" s="325"/>
      <c r="S59" s="325"/>
      <c r="T59" s="325"/>
      <c r="U59" s="325"/>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row>
    <row r="60" spans="1:53" x14ac:dyDescent="0.25">
      <c r="A60" s="205"/>
      <c r="B60" s="368"/>
      <c r="C60" s="369"/>
      <c r="D60" s="384"/>
      <c r="E60" s="385"/>
      <c r="F60" s="387"/>
      <c r="G60" s="198" t="s">
        <v>187</v>
      </c>
      <c r="H60" s="198" t="s">
        <v>188</v>
      </c>
      <c r="I60" s="198" t="s">
        <v>189</v>
      </c>
      <c r="J60" s="198" t="s">
        <v>190</v>
      </c>
      <c r="K60" s="198" t="s">
        <v>191</v>
      </c>
      <c r="L60" s="199" t="s">
        <v>187</v>
      </c>
      <c r="M60" s="199" t="s">
        <v>188</v>
      </c>
      <c r="N60" s="199" t="s">
        <v>189</v>
      </c>
      <c r="O60" s="199" t="s">
        <v>190</v>
      </c>
      <c r="P60" s="199" t="s">
        <v>191</v>
      </c>
      <c r="Q60" s="198" t="s">
        <v>187</v>
      </c>
      <c r="R60" s="198" t="s">
        <v>188</v>
      </c>
      <c r="S60" s="198" t="s">
        <v>189</v>
      </c>
      <c r="T60" s="198" t="s">
        <v>190</v>
      </c>
      <c r="U60" s="198" t="s">
        <v>191</v>
      </c>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row>
    <row r="61" spans="1:53" ht="15.75" customHeight="1" x14ac:dyDescent="0.25">
      <c r="A61" s="205"/>
      <c r="B61" s="368"/>
      <c r="C61" s="369"/>
      <c r="D61" s="372" t="s">
        <v>203</v>
      </c>
      <c r="E61" s="372"/>
      <c r="F61" s="378" t="s">
        <v>203</v>
      </c>
      <c r="G61" s="98"/>
      <c r="H61" s="107"/>
      <c r="I61" s="107"/>
      <c r="J61" s="107"/>
      <c r="K61" s="107"/>
      <c r="L61" s="98"/>
      <c r="M61" s="107"/>
      <c r="N61" s="107"/>
      <c r="O61" s="107"/>
      <c r="P61" s="107"/>
      <c r="Q61" s="98"/>
      <c r="R61" s="107"/>
      <c r="S61" s="107"/>
      <c r="T61" s="107"/>
      <c r="U61" s="107"/>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row>
    <row r="62" spans="1:53" x14ac:dyDescent="0.25">
      <c r="A62" s="205"/>
      <c r="B62" s="368"/>
      <c r="C62" s="369"/>
      <c r="D62" s="372"/>
      <c r="E62" s="372"/>
      <c r="F62" s="378"/>
      <c r="G62" s="109" t="s">
        <v>193</v>
      </c>
      <c r="H62" s="108" t="s">
        <v>193</v>
      </c>
      <c r="I62" s="108" t="s">
        <v>193</v>
      </c>
      <c r="J62" s="108" t="s">
        <v>193</v>
      </c>
      <c r="K62" s="108" t="s">
        <v>193</v>
      </c>
      <c r="L62" s="109" t="s">
        <v>193</v>
      </c>
      <c r="M62" s="108" t="s">
        <v>193</v>
      </c>
      <c r="N62" s="108" t="s">
        <v>193</v>
      </c>
      <c r="O62" s="108" t="s">
        <v>193</v>
      </c>
      <c r="P62" s="108" t="s">
        <v>193</v>
      </c>
      <c r="Q62" s="109" t="s">
        <v>193</v>
      </c>
      <c r="R62" s="108" t="s">
        <v>193</v>
      </c>
      <c r="S62" s="108" t="s">
        <v>193</v>
      </c>
      <c r="T62" s="108" t="s">
        <v>193</v>
      </c>
      <c r="U62" s="108" t="s">
        <v>193</v>
      </c>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row>
    <row r="63" spans="1:53" x14ac:dyDescent="0.25">
      <c r="A63" s="205"/>
      <c r="B63" s="368"/>
      <c r="C63" s="369"/>
      <c r="D63" s="372" t="s">
        <v>203</v>
      </c>
      <c r="E63" s="372"/>
      <c r="F63" s="378" t="s">
        <v>203</v>
      </c>
      <c r="G63" s="98"/>
      <c r="H63" s="107"/>
      <c r="I63" s="107"/>
      <c r="J63" s="107"/>
      <c r="K63" s="107"/>
      <c r="L63" s="98"/>
      <c r="M63" s="107"/>
      <c r="N63" s="107"/>
      <c r="O63" s="107"/>
      <c r="P63" s="107"/>
      <c r="Q63" s="98"/>
      <c r="R63" s="107"/>
      <c r="S63" s="107"/>
      <c r="T63" s="107"/>
      <c r="U63" s="107"/>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row>
    <row r="64" spans="1:53" x14ac:dyDescent="0.25">
      <c r="A64" s="205"/>
      <c r="B64" s="370"/>
      <c r="C64" s="371"/>
      <c r="D64" s="372"/>
      <c r="E64" s="372"/>
      <c r="F64" s="378"/>
      <c r="G64" s="108" t="s">
        <v>193</v>
      </c>
      <c r="H64" s="108" t="s">
        <v>193</v>
      </c>
      <c r="I64" s="108" t="s">
        <v>193</v>
      </c>
      <c r="J64" s="108" t="s">
        <v>193</v>
      </c>
      <c r="K64" s="108" t="s">
        <v>193</v>
      </c>
      <c r="L64" s="108" t="s">
        <v>193</v>
      </c>
      <c r="M64" s="108" t="s">
        <v>193</v>
      </c>
      <c r="N64" s="108" t="s">
        <v>193</v>
      </c>
      <c r="O64" s="108" t="s">
        <v>193</v>
      </c>
      <c r="P64" s="108" t="s">
        <v>193</v>
      </c>
      <c r="Q64" s="108" t="s">
        <v>193</v>
      </c>
      <c r="R64" s="108" t="s">
        <v>193</v>
      </c>
      <c r="S64" s="108" t="s">
        <v>193</v>
      </c>
      <c r="T64" s="108" t="s">
        <v>193</v>
      </c>
      <c r="U64" s="108" t="s">
        <v>193</v>
      </c>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row>
    <row r="65" spans="1:53" ht="40.5" customHeight="1" x14ac:dyDescent="0.25">
      <c r="A65" s="205"/>
      <c r="B65" s="305" t="s">
        <v>227</v>
      </c>
      <c r="C65" s="305"/>
      <c r="D65" s="379" t="s">
        <v>228</v>
      </c>
      <c r="E65" s="379"/>
      <c r="F65" s="379"/>
      <c r="G65" s="379"/>
      <c r="H65" s="379"/>
      <c r="I65" s="379"/>
      <c r="J65" s="379"/>
      <c r="K65" s="379"/>
      <c r="L65" s="379"/>
      <c r="M65" s="379"/>
      <c r="N65" s="379"/>
      <c r="O65" s="379"/>
      <c r="P65" s="379"/>
      <c r="Q65" s="379"/>
      <c r="R65" s="379"/>
      <c r="S65" s="379"/>
      <c r="T65" s="379"/>
      <c r="U65" s="379"/>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BA65" s="113" t="str">
        <f>D65</f>
        <v>Explain here</v>
      </c>
    </row>
    <row r="66" spans="1:53" ht="21" customHeight="1" x14ac:dyDescent="0.25">
      <c r="A66" s="205"/>
      <c r="B66" s="356" t="s">
        <v>229</v>
      </c>
      <c r="C66" s="356"/>
      <c r="D66" s="356"/>
      <c r="E66" s="356"/>
      <c r="F66" s="356"/>
      <c r="G66" s="356"/>
      <c r="H66" s="356"/>
      <c r="I66" s="356"/>
      <c r="J66" s="356"/>
      <c r="K66" s="356"/>
      <c r="L66" s="356"/>
      <c r="M66" s="356"/>
      <c r="N66" s="356"/>
      <c r="O66" s="356"/>
      <c r="P66" s="356"/>
      <c r="Q66" s="356"/>
      <c r="R66" s="356"/>
      <c r="S66" s="356"/>
      <c r="T66" s="356"/>
      <c r="U66" s="35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row>
    <row r="67" spans="1:53" ht="16.5" customHeight="1" x14ac:dyDescent="0.25">
      <c r="A67" s="205"/>
      <c r="B67" s="400" t="s">
        <v>121</v>
      </c>
      <c r="C67" s="400"/>
      <c r="D67" s="364" t="s">
        <v>230</v>
      </c>
      <c r="E67" s="364"/>
      <c r="F67" s="364" t="s">
        <v>195</v>
      </c>
      <c r="G67" s="325" t="s">
        <v>196</v>
      </c>
      <c r="H67" s="325"/>
      <c r="I67" s="325"/>
      <c r="J67" s="325"/>
      <c r="K67" s="325"/>
      <c r="L67" s="350">
        <v>2030</v>
      </c>
      <c r="M67" s="350"/>
      <c r="N67" s="350"/>
      <c r="O67" s="350"/>
      <c r="P67" s="350"/>
      <c r="Q67" s="325">
        <v>2050</v>
      </c>
      <c r="R67" s="325"/>
      <c r="S67" s="325"/>
      <c r="T67" s="325"/>
      <c r="U67" s="325"/>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row>
    <row r="68" spans="1:53" ht="15.75" customHeight="1" x14ac:dyDescent="0.25">
      <c r="A68" s="205"/>
      <c r="B68" s="400"/>
      <c r="C68" s="400"/>
      <c r="D68" s="364"/>
      <c r="E68" s="364"/>
      <c r="F68" s="364"/>
      <c r="G68" s="198" t="s">
        <v>187</v>
      </c>
      <c r="H68" s="198" t="s">
        <v>188</v>
      </c>
      <c r="I68" s="198" t="s">
        <v>189</v>
      </c>
      <c r="J68" s="198" t="s">
        <v>190</v>
      </c>
      <c r="K68" s="198" t="s">
        <v>191</v>
      </c>
      <c r="L68" s="199" t="s">
        <v>187</v>
      </c>
      <c r="M68" s="199" t="s">
        <v>188</v>
      </c>
      <c r="N68" s="199" t="s">
        <v>189</v>
      </c>
      <c r="O68" s="199" t="s">
        <v>190</v>
      </c>
      <c r="P68" s="199" t="s">
        <v>191</v>
      </c>
      <c r="Q68" s="198" t="s">
        <v>187</v>
      </c>
      <c r="R68" s="198" t="s">
        <v>188</v>
      </c>
      <c r="S68" s="198" t="s">
        <v>189</v>
      </c>
      <c r="T68" s="198" t="s">
        <v>190</v>
      </c>
      <c r="U68" s="198" t="s">
        <v>191</v>
      </c>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row>
    <row r="69" spans="1:53" ht="15.75" customHeight="1" x14ac:dyDescent="0.25">
      <c r="A69" s="205"/>
      <c r="B69" s="400"/>
      <c r="C69" s="400"/>
      <c r="D69" s="372" t="s">
        <v>204</v>
      </c>
      <c r="E69" s="372"/>
      <c r="F69" s="378" t="s">
        <v>204</v>
      </c>
      <c r="G69" s="98"/>
      <c r="H69" s="107"/>
      <c r="I69" s="107"/>
      <c r="J69" s="107"/>
      <c r="K69" s="107"/>
      <c r="L69" s="98"/>
      <c r="M69" s="107"/>
      <c r="N69" s="107"/>
      <c r="O69" s="107"/>
      <c r="P69" s="107"/>
      <c r="Q69" s="98"/>
      <c r="R69" s="107"/>
      <c r="S69" s="107"/>
      <c r="T69" s="107"/>
      <c r="U69" s="107"/>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row>
    <row r="70" spans="1:53" ht="15.75" customHeight="1" x14ac:dyDescent="0.25">
      <c r="A70" s="205"/>
      <c r="B70" s="400"/>
      <c r="C70" s="400"/>
      <c r="D70" s="372"/>
      <c r="E70" s="372"/>
      <c r="F70" s="378"/>
      <c r="G70" s="109" t="s">
        <v>193</v>
      </c>
      <c r="H70" s="108" t="s">
        <v>193</v>
      </c>
      <c r="I70" s="108" t="s">
        <v>193</v>
      </c>
      <c r="J70" s="108" t="s">
        <v>193</v>
      </c>
      <c r="K70" s="108" t="s">
        <v>193</v>
      </c>
      <c r="L70" s="109" t="s">
        <v>193</v>
      </c>
      <c r="M70" s="108" t="s">
        <v>193</v>
      </c>
      <c r="N70" s="108" t="s">
        <v>193</v>
      </c>
      <c r="O70" s="108" t="s">
        <v>193</v>
      </c>
      <c r="P70" s="108" t="s">
        <v>193</v>
      </c>
      <c r="Q70" s="109" t="s">
        <v>193</v>
      </c>
      <c r="R70" s="108" t="s">
        <v>193</v>
      </c>
      <c r="S70" s="108" t="s">
        <v>193</v>
      </c>
      <c r="T70" s="108" t="s">
        <v>193</v>
      </c>
      <c r="U70" s="108" t="s">
        <v>193</v>
      </c>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row>
    <row r="71" spans="1:53" ht="15.75" customHeight="1" x14ac:dyDescent="0.25">
      <c r="A71" s="205"/>
      <c r="B71" s="400"/>
      <c r="C71" s="400"/>
      <c r="D71" s="372" t="s">
        <v>204</v>
      </c>
      <c r="E71" s="372"/>
      <c r="F71" s="378" t="s">
        <v>204</v>
      </c>
      <c r="G71" s="98"/>
      <c r="H71" s="107"/>
      <c r="I71" s="107"/>
      <c r="J71" s="107"/>
      <c r="K71" s="107"/>
      <c r="L71" s="98"/>
      <c r="M71" s="107"/>
      <c r="N71" s="107"/>
      <c r="O71" s="107"/>
      <c r="P71" s="107"/>
      <c r="Q71" s="98"/>
      <c r="R71" s="107"/>
      <c r="S71" s="107"/>
      <c r="T71" s="107"/>
      <c r="U71" s="107"/>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row>
    <row r="72" spans="1:53" ht="15.75" customHeight="1" x14ac:dyDescent="0.25">
      <c r="A72" s="205"/>
      <c r="B72" s="400"/>
      <c r="C72" s="400"/>
      <c r="D72" s="372"/>
      <c r="E72" s="372"/>
      <c r="F72" s="378"/>
      <c r="G72" s="108" t="s">
        <v>193</v>
      </c>
      <c r="H72" s="108" t="s">
        <v>193</v>
      </c>
      <c r="I72" s="108" t="s">
        <v>193</v>
      </c>
      <c r="J72" s="108" t="s">
        <v>193</v>
      </c>
      <c r="K72" s="108" t="s">
        <v>193</v>
      </c>
      <c r="L72" s="108" t="s">
        <v>193</v>
      </c>
      <c r="M72" s="108" t="s">
        <v>193</v>
      </c>
      <c r="N72" s="108" t="s">
        <v>193</v>
      </c>
      <c r="O72" s="108" t="s">
        <v>193</v>
      </c>
      <c r="P72" s="108" t="s">
        <v>193</v>
      </c>
      <c r="Q72" s="108" t="s">
        <v>193</v>
      </c>
      <c r="R72" s="108" t="s">
        <v>193</v>
      </c>
      <c r="S72" s="108" t="s">
        <v>193</v>
      </c>
      <c r="T72" s="108" t="s">
        <v>193</v>
      </c>
      <c r="U72" s="108" t="s">
        <v>193</v>
      </c>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row>
    <row r="73" spans="1:53" ht="15.75" customHeight="1" x14ac:dyDescent="0.25">
      <c r="A73" s="205"/>
      <c r="B73" s="400"/>
      <c r="C73" s="400"/>
      <c r="D73" s="372" t="s">
        <v>204</v>
      </c>
      <c r="E73" s="372"/>
      <c r="F73" s="378" t="s">
        <v>204</v>
      </c>
      <c r="G73" s="98"/>
      <c r="H73" s="107"/>
      <c r="I73" s="107"/>
      <c r="J73" s="107"/>
      <c r="K73" s="107"/>
      <c r="L73" s="98"/>
      <c r="M73" s="107"/>
      <c r="N73" s="107"/>
      <c r="O73" s="107"/>
      <c r="P73" s="107"/>
      <c r="Q73" s="98"/>
      <c r="R73" s="107"/>
      <c r="S73" s="107"/>
      <c r="T73" s="107"/>
      <c r="U73" s="107"/>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row>
    <row r="74" spans="1:53" ht="15.75" customHeight="1" x14ac:dyDescent="0.25">
      <c r="A74" s="205"/>
      <c r="B74" s="400"/>
      <c r="C74" s="400"/>
      <c r="D74" s="372"/>
      <c r="E74" s="372"/>
      <c r="F74" s="378"/>
      <c r="G74" s="108" t="s">
        <v>193</v>
      </c>
      <c r="H74" s="108" t="s">
        <v>193</v>
      </c>
      <c r="I74" s="108" t="s">
        <v>193</v>
      </c>
      <c r="J74" s="108" t="s">
        <v>193</v>
      </c>
      <c r="K74" s="108" t="s">
        <v>193</v>
      </c>
      <c r="L74" s="108" t="s">
        <v>193</v>
      </c>
      <c r="M74" s="108" t="s">
        <v>193</v>
      </c>
      <c r="N74" s="108" t="s">
        <v>193</v>
      </c>
      <c r="O74" s="108" t="s">
        <v>193</v>
      </c>
      <c r="P74" s="108" t="s">
        <v>193</v>
      </c>
      <c r="Q74" s="108" t="s">
        <v>193</v>
      </c>
      <c r="R74" s="108" t="s">
        <v>193</v>
      </c>
      <c r="S74" s="108" t="s">
        <v>193</v>
      </c>
      <c r="T74" s="108" t="s">
        <v>193</v>
      </c>
      <c r="U74" s="108" t="s">
        <v>193</v>
      </c>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row>
    <row r="75" spans="1:53" ht="15.75" customHeight="1" x14ac:dyDescent="0.25">
      <c r="A75" s="205"/>
      <c r="B75" s="400"/>
      <c r="C75" s="400"/>
      <c r="D75" s="372" t="s">
        <v>204</v>
      </c>
      <c r="E75" s="372"/>
      <c r="F75" s="378" t="s">
        <v>204</v>
      </c>
      <c r="G75" s="98"/>
      <c r="H75" s="107"/>
      <c r="I75" s="107"/>
      <c r="J75" s="107"/>
      <c r="K75" s="107"/>
      <c r="L75" s="98"/>
      <c r="M75" s="107"/>
      <c r="N75" s="107"/>
      <c r="O75" s="107"/>
      <c r="P75" s="107"/>
      <c r="Q75" s="98"/>
      <c r="R75" s="107"/>
      <c r="S75" s="107"/>
      <c r="T75" s="107"/>
      <c r="U75" s="107"/>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row>
    <row r="76" spans="1:53" ht="16.5" customHeight="1" x14ac:dyDescent="0.25">
      <c r="A76" s="205"/>
      <c r="B76" s="400"/>
      <c r="C76" s="400"/>
      <c r="D76" s="372"/>
      <c r="E76" s="372"/>
      <c r="F76" s="378"/>
      <c r="G76" s="108" t="s">
        <v>193</v>
      </c>
      <c r="H76" s="108" t="s">
        <v>193</v>
      </c>
      <c r="I76" s="108" t="s">
        <v>193</v>
      </c>
      <c r="J76" s="108" t="s">
        <v>193</v>
      </c>
      <c r="K76" s="108" t="s">
        <v>193</v>
      </c>
      <c r="L76" s="108" t="s">
        <v>193</v>
      </c>
      <c r="M76" s="108" t="s">
        <v>193</v>
      </c>
      <c r="N76" s="108" t="s">
        <v>193</v>
      </c>
      <c r="O76" s="108" t="s">
        <v>193</v>
      </c>
      <c r="P76" s="108" t="s">
        <v>193</v>
      </c>
      <c r="Q76" s="108" t="s">
        <v>193</v>
      </c>
      <c r="R76" s="108" t="s">
        <v>193</v>
      </c>
      <c r="S76" s="108" t="s">
        <v>193</v>
      </c>
      <c r="T76" s="108" t="s">
        <v>193</v>
      </c>
      <c r="U76" s="108" t="s">
        <v>193</v>
      </c>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row>
    <row r="77" spans="1:53" ht="40.5" customHeight="1" x14ac:dyDescent="0.25">
      <c r="A77" s="205"/>
      <c r="B77" s="305" t="s">
        <v>231</v>
      </c>
      <c r="C77" s="305"/>
      <c r="D77" s="397" t="s">
        <v>232</v>
      </c>
      <c r="E77" s="398"/>
      <c r="F77" s="398"/>
      <c r="G77" s="398"/>
      <c r="H77" s="398"/>
      <c r="I77" s="398"/>
      <c r="J77" s="398"/>
      <c r="K77" s="398"/>
      <c r="L77" s="398"/>
      <c r="M77" s="398"/>
      <c r="N77" s="398"/>
      <c r="O77" s="398"/>
      <c r="P77" s="398"/>
      <c r="Q77" s="398"/>
      <c r="R77" s="398"/>
      <c r="S77" s="398"/>
      <c r="T77" s="398"/>
      <c r="U77" s="399"/>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BA77" s="113" t="str">
        <f>D77</f>
        <v>Explain here (e.g. emission factors if calculated)</v>
      </c>
    </row>
    <row r="78" spans="1:53" ht="21" customHeight="1" x14ac:dyDescent="0.25">
      <c r="A78" s="205"/>
      <c r="B78" s="388" t="s">
        <v>233</v>
      </c>
      <c r="C78" s="389"/>
      <c r="D78" s="389"/>
      <c r="E78" s="389"/>
      <c r="F78" s="389"/>
      <c r="G78" s="389"/>
      <c r="H78" s="389"/>
      <c r="I78" s="389"/>
      <c r="J78" s="389"/>
      <c r="K78" s="389"/>
      <c r="L78" s="389"/>
      <c r="M78" s="389"/>
      <c r="N78" s="389"/>
      <c r="O78" s="389"/>
      <c r="P78" s="389"/>
      <c r="Q78" s="389"/>
      <c r="R78" s="389"/>
      <c r="S78" s="389"/>
      <c r="T78" s="389"/>
      <c r="U78" s="390"/>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row>
    <row r="79" spans="1:53" ht="15.75" customHeight="1" x14ac:dyDescent="0.25">
      <c r="A79" s="205"/>
      <c r="B79" s="360" t="s">
        <v>234</v>
      </c>
      <c r="C79" s="361"/>
      <c r="D79" s="391" t="s">
        <v>195</v>
      </c>
      <c r="E79" s="392"/>
      <c r="F79" s="393"/>
      <c r="G79" s="325" t="s">
        <v>196</v>
      </c>
      <c r="H79" s="325"/>
      <c r="I79" s="325"/>
      <c r="J79" s="325"/>
      <c r="K79" s="325"/>
      <c r="L79" s="350">
        <v>2030</v>
      </c>
      <c r="M79" s="350"/>
      <c r="N79" s="350"/>
      <c r="O79" s="350"/>
      <c r="P79" s="350"/>
      <c r="Q79" s="325">
        <v>2050</v>
      </c>
      <c r="R79" s="325"/>
      <c r="S79" s="325"/>
      <c r="T79" s="325"/>
      <c r="U79" s="325"/>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row>
    <row r="80" spans="1:53" x14ac:dyDescent="0.25">
      <c r="A80" s="205"/>
      <c r="B80" s="362"/>
      <c r="C80" s="363"/>
      <c r="D80" s="394"/>
      <c r="E80" s="395"/>
      <c r="F80" s="396"/>
      <c r="G80" s="198" t="s">
        <v>187</v>
      </c>
      <c r="H80" s="198" t="s">
        <v>188</v>
      </c>
      <c r="I80" s="198" t="s">
        <v>189</v>
      </c>
      <c r="J80" s="198" t="s">
        <v>190</v>
      </c>
      <c r="K80" s="198" t="s">
        <v>191</v>
      </c>
      <c r="L80" s="199" t="s">
        <v>187</v>
      </c>
      <c r="M80" s="199" t="s">
        <v>188</v>
      </c>
      <c r="N80" s="199" t="s">
        <v>189</v>
      </c>
      <c r="O80" s="199" t="s">
        <v>190</v>
      </c>
      <c r="P80" s="199" t="s">
        <v>191</v>
      </c>
      <c r="Q80" s="198" t="s">
        <v>187</v>
      </c>
      <c r="R80" s="198" t="s">
        <v>188</v>
      </c>
      <c r="S80" s="198" t="s">
        <v>189</v>
      </c>
      <c r="T80" s="198" t="s">
        <v>190</v>
      </c>
      <c r="U80" s="198" t="s">
        <v>191</v>
      </c>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row>
    <row r="81" spans="1:53" x14ac:dyDescent="0.25">
      <c r="A81" s="205"/>
      <c r="B81" s="401" t="s">
        <v>235</v>
      </c>
      <c r="C81" s="402"/>
      <c r="D81" s="341" t="s">
        <v>203</v>
      </c>
      <c r="E81" s="341"/>
      <c r="F81" s="341"/>
      <c r="G81" s="98"/>
      <c r="H81" s="107"/>
      <c r="I81" s="107"/>
      <c r="J81" s="107"/>
      <c r="K81" s="107"/>
      <c r="L81" s="98"/>
      <c r="M81" s="107"/>
      <c r="N81" s="107"/>
      <c r="O81" s="107"/>
      <c r="P81" s="107"/>
      <c r="Q81" s="98"/>
      <c r="R81" s="107"/>
      <c r="S81" s="107"/>
      <c r="T81" s="107"/>
      <c r="U81" s="107"/>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row>
    <row r="82" spans="1:53" x14ac:dyDescent="0.25">
      <c r="A82" s="205"/>
      <c r="B82" s="403"/>
      <c r="C82" s="404"/>
      <c r="D82" s="341"/>
      <c r="E82" s="341"/>
      <c r="F82" s="341"/>
      <c r="G82" s="109" t="s">
        <v>193</v>
      </c>
      <c r="H82" s="108" t="s">
        <v>193</v>
      </c>
      <c r="I82" s="108" t="s">
        <v>193</v>
      </c>
      <c r="J82" s="108" t="s">
        <v>193</v>
      </c>
      <c r="K82" s="108" t="s">
        <v>193</v>
      </c>
      <c r="L82" s="109" t="s">
        <v>193</v>
      </c>
      <c r="M82" s="108" t="s">
        <v>193</v>
      </c>
      <c r="N82" s="108" t="s">
        <v>193</v>
      </c>
      <c r="O82" s="108" t="s">
        <v>193</v>
      </c>
      <c r="P82" s="108" t="s">
        <v>193</v>
      </c>
      <c r="Q82" s="109" t="s">
        <v>193</v>
      </c>
      <c r="R82" s="108" t="s">
        <v>193</v>
      </c>
      <c r="S82" s="108" t="s">
        <v>193</v>
      </c>
      <c r="T82" s="108" t="s">
        <v>193</v>
      </c>
      <c r="U82" s="108" t="s">
        <v>193</v>
      </c>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row>
    <row r="83" spans="1:53" x14ac:dyDescent="0.25">
      <c r="A83" s="205"/>
      <c r="B83" s="401" t="s">
        <v>235</v>
      </c>
      <c r="C83" s="402"/>
      <c r="D83" s="341" t="s">
        <v>203</v>
      </c>
      <c r="E83" s="341"/>
      <c r="F83" s="341"/>
      <c r="G83" s="98"/>
      <c r="H83" s="107"/>
      <c r="I83" s="107"/>
      <c r="J83" s="107"/>
      <c r="K83" s="107"/>
      <c r="L83" s="98"/>
      <c r="M83" s="107"/>
      <c r="N83" s="107"/>
      <c r="O83" s="107"/>
      <c r="P83" s="107"/>
      <c r="Q83" s="98"/>
      <c r="R83" s="107"/>
      <c r="S83" s="107"/>
      <c r="T83" s="107"/>
      <c r="U83" s="107"/>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row>
    <row r="84" spans="1:53" x14ac:dyDescent="0.25">
      <c r="A84" s="205"/>
      <c r="B84" s="403"/>
      <c r="C84" s="404"/>
      <c r="D84" s="341"/>
      <c r="E84" s="341"/>
      <c r="F84" s="341"/>
      <c r="G84" s="108" t="s">
        <v>193</v>
      </c>
      <c r="H84" s="108" t="s">
        <v>193</v>
      </c>
      <c r="I84" s="108" t="s">
        <v>193</v>
      </c>
      <c r="J84" s="108" t="s">
        <v>193</v>
      </c>
      <c r="K84" s="108" t="s">
        <v>193</v>
      </c>
      <c r="L84" s="108" t="s">
        <v>193</v>
      </c>
      <c r="M84" s="108" t="s">
        <v>193</v>
      </c>
      <c r="N84" s="108" t="s">
        <v>193</v>
      </c>
      <c r="O84" s="108" t="s">
        <v>193</v>
      </c>
      <c r="P84" s="108" t="s">
        <v>193</v>
      </c>
      <c r="Q84" s="108" t="s">
        <v>193</v>
      </c>
      <c r="R84" s="108" t="s">
        <v>193</v>
      </c>
      <c r="S84" s="108" t="s">
        <v>193</v>
      </c>
      <c r="T84" s="108" t="s">
        <v>193</v>
      </c>
      <c r="U84" s="108" t="s">
        <v>193</v>
      </c>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row>
    <row r="85" spans="1:53" x14ac:dyDescent="0.25">
      <c r="A85" s="205"/>
      <c r="B85" s="401" t="s">
        <v>235</v>
      </c>
      <c r="C85" s="402"/>
      <c r="D85" s="341" t="s">
        <v>203</v>
      </c>
      <c r="E85" s="341"/>
      <c r="F85" s="341"/>
      <c r="G85" s="98"/>
      <c r="H85" s="107"/>
      <c r="I85" s="107"/>
      <c r="J85" s="107"/>
      <c r="K85" s="107"/>
      <c r="L85" s="98"/>
      <c r="M85" s="107"/>
      <c r="N85" s="107"/>
      <c r="O85" s="107"/>
      <c r="P85" s="107"/>
      <c r="Q85" s="98"/>
      <c r="R85" s="107"/>
      <c r="S85" s="107"/>
      <c r="T85" s="107"/>
      <c r="U85" s="107"/>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row>
    <row r="86" spans="1:53" x14ac:dyDescent="0.25">
      <c r="A86" s="205"/>
      <c r="B86" s="403"/>
      <c r="C86" s="404"/>
      <c r="D86" s="341"/>
      <c r="E86" s="341"/>
      <c r="F86" s="341"/>
      <c r="G86" s="108" t="s">
        <v>193</v>
      </c>
      <c r="H86" s="108" t="s">
        <v>193</v>
      </c>
      <c r="I86" s="108" t="s">
        <v>193</v>
      </c>
      <c r="J86" s="108" t="s">
        <v>193</v>
      </c>
      <c r="K86" s="108" t="s">
        <v>193</v>
      </c>
      <c r="L86" s="108" t="s">
        <v>193</v>
      </c>
      <c r="M86" s="108" t="s">
        <v>193</v>
      </c>
      <c r="N86" s="108" t="s">
        <v>193</v>
      </c>
      <c r="O86" s="108" t="s">
        <v>193</v>
      </c>
      <c r="P86" s="108" t="s">
        <v>193</v>
      </c>
      <c r="Q86" s="108" t="s">
        <v>193</v>
      </c>
      <c r="R86" s="108" t="s">
        <v>193</v>
      </c>
      <c r="S86" s="108" t="s">
        <v>193</v>
      </c>
      <c r="T86" s="108" t="s">
        <v>193</v>
      </c>
      <c r="U86" s="108" t="s">
        <v>193</v>
      </c>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row>
    <row r="87" spans="1:53" x14ac:dyDescent="0.25">
      <c r="A87" s="205"/>
      <c r="B87" s="401" t="s">
        <v>235</v>
      </c>
      <c r="C87" s="402"/>
      <c r="D87" s="341" t="s">
        <v>203</v>
      </c>
      <c r="E87" s="341"/>
      <c r="F87" s="341"/>
      <c r="G87" s="98"/>
      <c r="H87" s="107"/>
      <c r="I87" s="107"/>
      <c r="J87" s="107"/>
      <c r="K87" s="107"/>
      <c r="L87" s="98"/>
      <c r="M87" s="107"/>
      <c r="N87" s="107"/>
      <c r="O87" s="107"/>
      <c r="P87" s="107"/>
      <c r="Q87" s="98"/>
      <c r="R87" s="107"/>
      <c r="S87" s="107"/>
      <c r="T87" s="107"/>
      <c r="U87" s="107"/>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row>
    <row r="88" spans="1:53" x14ac:dyDescent="0.25">
      <c r="A88" s="205"/>
      <c r="B88" s="403"/>
      <c r="C88" s="404"/>
      <c r="D88" s="341"/>
      <c r="E88" s="341"/>
      <c r="F88" s="341"/>
      <c r="G88" s="108" t="s">
        <v>193</v>
      </c>
      <c r="H88" s="108" t="s">
        <v>193</v>
      </c>
      <c r="I88" s="108" t="s">
        <v>193</v>
      </c>
      <c r="J88" s="108" t="s">
        <v>193</v>
      </c>
      <c r="K88" s="108" t="s">
        <v>193</v>
      </c>
      <c r="L88" s="108" t="s">
        <v>193</v>
      </c>
      <c r="M88" s="108" t="s">
        <v>193</v>
      </c>
      <c r="N88" s="108" t="s">
        <v>193</v>
      </c>
      <c r="O88" s="108" t="s">
        <v>193</v>
      </c>
      <c r="P88" s="108" t="s">
        <v>193</v>
      </c>
      <c r="Q88" s="108" t="s">
        <v>193</v>
      </c>
      <c r="R88" s="108" t="s">
        <v>193</v>
      </c>
      <c r="S88" s="108" t="s">
        <v>193</v>
      </c>
      <c r="T88" s="108" t="s">
        <v>193</v>
      </c>
      <c r="U88" s="108" t="s">
        <v>193</v>
      </c>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row>
    <row r="89" spans="1:53" ht="36.75" customHeight="1" x14ac:dyDescent="0.25">
      <c r="A89" s="205"/>
      <c r="B89" s="305" t="s">
        <v>205</v>
      </c>
      <c r="C89" s="305"/>
      <c r="D89" s="397" t="s">
        <v>228</v>
      </c>
      <c r="E89" s="398"/>
      <c r="F89" s="398"/>
      <c r="G89" s="398"/>
      <c r="H89" s="398"/>
      <c r="I89" s="398"/>
      <c r="J89" s="398"/>
      <c r="K89" s="398"/>
      <c r="L89" s="398"/>
      <c r="M89" s="398"/>
      <c r="N89" s="398"/>
      <c r="O89" s="398"/>
      <c r="P89" s="398"/>
      <c r="Q89" s="398"/>
      <c r="R89" s="398"/>
      <c r="S89" s="398"/>
      <c r="T89" s="398"/>
      <c r="U89" s="399"/>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row>
    <row r="90" spans="1:53" ht="21" customHeight="1" x14ac:dyDescent="0.25">
      <c r="A90" s="205"/>
      <c r="B90" s="388" t="s">
        <v>130</v>
      </c>
      <c r="C90" s="389"/>
      <c r="D90" s="389"/>
      <c r="E90" s="389"/>
      <c r="F90" s="389"/>
      <c r="G90" s="389"/>
      <c r="H90" s="389"/>
      <c r="I90" s="389"/>
      <c r="J90" s="389"/>
      <c r="K90" s="389"/>
      <c r="L90" s="389"/>
      <c r="M90" s="389"/>
      <c r="N90" s="389"/>
      <c r="O90" s="389"/>
      <c r="P90" s="389"/>
      <c r="Q90" s="389"/>
      <c r="R90" s="389"/>
      <c r="S90" s="389"/>
      <c r="T90" s="389"/>
      <c r="U90" s="390"/>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row>
    <row r="91" spans="1:53" ht="15" customHeight="1" x14ac:dyDescent="0.25">
      <c r="A91" s="205"/>
      <c r="B91" s="86">
        <v>1</v>
      </c>
      <c r="C91" s="405" t="s">
        <v>236</v>
      </c>
      <c r="D91" s="405"/>
      <c r="E91" s="405"/>
      <c r="F91" s="405"/>
      <c r="G91" s="405"/>
      <c r="H91" s="405"/>
      <c r="I91" s="405"/>
      <c r="J91" s="405"/>
      <c r="K91" s="405"/>
      <c r="L91" s="405"/>
      <c r="M91" s="405"/>
      <c r="N91" s="405"/>
      <c r="O91" s="405"/>
      <c r="P91" s="405"/>
      <c r="Q91" s="405"/>
      <c r="R91" s="405"/>
      <c r="S91" s="405"/>
      <c r="T91" s="405"/>
      <c r="U91" s="405"/>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BA91" s="113" t="str">
        <f>C91</f>
        <v>CBS (2018). Hernieuwbare energie in Nederland 2017, oktober 2018 https://www.cbs.nl/nl-nl/publicatie/2018/40/hernieuwbare-energie-in-nederland-2017</v>
      </c>
    </row>
    <row r="92" spans="1:53" ht="15" customHeight="1" x14ac:dyDescent="0.25">
      <c r="A92" s="205"/>
      <c r="B92" s="86">
        <v>2</v>
      </c>
      <c r="C92" s="405" t="s">
        <v>237</v>
      </c>
      <c r="D92" s="405"/>
      <c r="E92" s="405"/>
      <c r="F92" s="405"/>
      <c r="G92" s="405"/>
      <c r="H92" s="405"/>
      <c r="I92" s="405"/>
      <c r="J92" s="405"/>
      <c r="K92" s="405"/>
      <c r="L92" s="405"/>
      <c r="M92" s="405"/>
      <c r="N92" s="405"/>
      <c r="O92" s="405"/>
      <c r="P92" s="405"/>
      <c r="Q92" s="405"/>
      <c r="R92" s="405"/>
      <c r="S92" s="405"/>
      <c r="T92" s="405"/>
      <c r="U92" s="405"/>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BA92" s="113" t="str">
        <f t="shared" ref="BA92:BA101" si="0">C92</f>
        <v>FhG-ISE (2015). Current and Future Cost of Photovoltaics Long-term Scenarios for Market Development, System Prices and LCOE of Utility-Scale PV Systems, Fraunhofer-Institute for Solar Energy Systems (ISE), Johannes N. Mayer et al. (2015) https://www.ise.fraunhofer.de/content/dam/ise/de/documents/publications/studies/AgoraEnergiewende_Current_and_Future_Cost_of_PV_Feb2015_web.pdf</v>
      </c>
    </row>
    <row r="93" spans="1:53" ht="15" customHeight="1" x14ac:dyDescent="0.25">
      <c r="A93" s="205"/>
      <c r="B93" s="86">
        <v>3</v>
      </c>
      <c r="C93" s="405" t="s">
        <v>238</v>
      </c>
      <c r="D93" s="405"/>
      <c r="E93" s="405"/>
      <c r="F93" s="405"/>
      <c r="G93" s="405"/>
      <c r="H93" s="405"/>
      <c r="I93" s="405"/>
      <c r="J93" s="405"/>
      <c r="K93" s="405"/>
      <c r="L93" s="405"/>
      <c r="M93" s="405"/>
      <c r="N93" s="405"/>
      <c r="O93" s="405"/>
      <c r="P93" s="405"/>
      <c r="Q93" s="405"/>
      <c r="R93" s="405"/>
      <c r="S93" s="405"/>
      <c r="T93" s="405"/>
      <c r="U93" s="405"/>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BA93" s="113" t="str">
        <f t="shared" si="0"/>
        <v>Gasunie (2018). Verkenning 2050.</v>
      </c>
    </row>
    <row r="94" spans="1:53" ht="15" customHeight="1" x14ac:dyDescent="0.25">
      <c r="A94" s="205"/>
      <c r="B94" s="86">
        <v>4</v>
      </c>
      <c r="C94" s="405" t="s">
        <v>239</v>
      </c>
      <c r="D94" s="405"/>
      <c r="E94" s="405"/>
      <c r="F94" s="405"/>
      <c r="G94" s="405"/>
      <c r="H94" s="405"/>
      <c r="I94" s="405"/>
      <c r="J94" s="405"/>
      <c r="K94" s="405"/>
      <c r="L94" s="405"/>
      <c r="M94" s="405"/>
      <c r="N94" s="405"/>
      <c r="O94" s="405"/>
      <c r="P94" s="405"/>
      <c r="Q94" s="405"/>
      <c r="R94" s="405"/>
      <c r="S94" s="405"/>
      <c r="T94" s="405"/>
      <c r="U94" s="405"/>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BA94" s="113" t="str">
        <f t="shared" si="0"/>
        <v>PBL (2014). Het potentieel van zonnestroom in de gebouwde omgeving van Nederland. https://www.pbl.nl/publicaties/het-potentieel-van-zonnestroom-in-de-gebouwde-omgeving-van-nederland</v>
      </c>
    </row>
    <row r="95" spans="1:53" ht="15" customHeight="1" x14ac:dyDescent="0.25">
      <c r="A95" s="205"/>
      <c r="B95" s="86">
        <v>5</v>
      </c>
      <c r="C95" s="407" t="s">
        <v>240</v>
      </c>
      <c r="D95" s="408"/>
      <c r="E95" s="408"/>
      <c r="F95" s="408"/>
      <c r="G95" s="408"/>
      <c r="H95" s="408"/>
      <c r="I95" s="408"/>
      <c r="J95" s="408"/>
      <c r="K95" s="408"/>
      <c r="L95" s="408"/>
      <c r="M95" s="408"/>
      <c r="N95" s="408"/>
      <c r="O95" s="408"/>
      <c r="P95" s="408"/>
      <c r="Q95" s="408"/>
      <c r="R95" s="408"/>
      <c r="S95" s="408"/>
      <c r="T95" s="408"/>
      <c r="U95" s="409"/>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BA95" s="113" t="str">
        <f t="shared" si="0"/>
        <v>PBL (2018). Eindadvies Basisbedragen SDE+ 2019, december 2018, Sander Lensink (editor), https://www.pbl.nl/publicaties/eindadvies-basisbedragen-sde-2019</v>
      </c>
    </row>
    <row r="96" spans="1:53" ht="15" customHeight="1" x14ac:dyDescent="0.25">
      <c r="A96" s="205"/>
      <c r="B96" s="86">
        <v>6</v>
      </c>
      <c r="C96" s="405" t="s">
        <v>241</v>
      </c>
      <c r="D96" s="405"/>
      <c r="E96" s="405"/>
      <c r="F96" s="405"/>
      <c r="G96" s="405"/>
      <c r="H96" s="405"/>
      <c r="I96" s="405"/>
      <c r="J96" s="405"/>
      <c r="K96" s="405"/>
      <c r="L96" s="405"/>
      <c r="M96" s="405"/>
      <c r="N96" s="405"/>
      <c r="O96" s="405"/>
      <c r="P96" s="405"/>
      <c r="Q96" s="405"/>
      <c r="R96" s="405"/>
      <c r="S96" s="405"/>
      <c r="T96" s="405"/>
      <c r="U96" s="405"/>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BA96" s="113" t="e">
        <f>#REF!</f>
        <v>#REF!</v>
      </c>
    </row>
    <row r="97" spans="1:53" ht="15.75" customHeight="1" x14ac:dyDescent="0.25">
      <c r="A97" s="205"/>
      <c r="B97" s="86">
        <v>7</v>
      </c>
      <c r="C97" s="407"/>
      <c r="D97" s="408"/>
      <c r="E97" s="408"/>
      <c r="F97" s="408"/>
      <c r="G97" s="408"/>
      <c r="H97" s="408"/>
      <c r="I97" s="408"/>
      <c r="J97" s="408"/>
      <c r="K97" s="408"/>
      <c r="L97" s="408"/>
      <c r="M97" s="408"/>
      <c r="N97" s="408"/>
      <c r="O97" s="408"/>
      <c r="P97" s="408"/>
      <c r="Q97" s="408"/>
      <c r="R97" s="408"/>
      <c r="S97" s="408"/>
      <c r="T97" s="408"/>
      <c r="U97" s="409"/>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BA97" s="113" t="str">
        <f>C96</f>
        <v>PBL (2019). Conceptadvies basisbedragen SDE+ 2020, april 2019, https://www.pbl.nl/publicaties/conceptadvies-zonne-energie-sde-2020</v>
      </c>
    </row>
    <row r="98" spans="1:53" x14ac:dyDescent="0.25">
      <c r="A98" s="205"/>
      <c r="B98" s="86">
        <v>8</v>
      </c>
      <c r="C98" s="405"/>
      <c r="D98" s="405"/>
      <c r="E98" s="405"/>
      <c r="F98" s="405"/>
      <c r="G98" s="405"/>
      <c r="H98" s="405"/>
      <c r="I98" s="405"/>
      <c r="J98" s="405"/>
      <c r="K98" s="405"/>
      <c r="L98" s="405"/>
      <c r="M98" s="405"/>
      <c r="N98" s="405"/>
      <c r="O98" s="405"/>
      <c r="P98" s="405"/>
      <c r="Q98" s="405"/>
      <c r="R98" s="405"/>
      <c r="S98" s="405"/>
      <c r="T98" s="405"/>
      <c r="U98" s="405"/>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BA98" s="113">
        <f t="shared" si="0"/>
        <v>0</v>
      </c>
    </row>
    <row r="99" spans="1:53" x14ac:dyDescent="0.25">
      <c r="A99" s="205"/>
      <c r="B99" s="86">
        <v>9</v>
      </c>
      <c r="C99" s="405"/>
      <c r="D99" s="405"/>
      <c r="E99" s="405"/>
      <c r="F99" s="405"/>
      <c r="G99" s="405"/>
      <c r="H99" s="405"/>
      <c r="I99" s="405"/>
      <c r="J99" s="405"/>
      <c r="K99" s="405"/>
      <c r="L99" s="405"/>
      <c r="M99" s="405"/>
      <c r="N99" s="405"/>
      <c r="O99" s="405"/>
      <c r="P99" s="405"/>
      <c r="Q99" s="405"/>
      <c r="R99" s="405"/>
      <c r="S99" s="405"/>
      <c r="T99" s="405"/>
      <c r="U99" s="405"/>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BA99" s="113">
        <f t="shared" si="0"/>
        <v>0</v>
      </c>
    </row>
    <row r="100" spans="1:53" x14ac:dyDescent="0.25">
      <c r="A100" s="205"/>
      <c r="B100" s="86">
        <v>10</v>
      </c>
      <c r="C100" s="405"/>
      <c r="D100" s="405"/>
      <c r="E100" s="405"/>
      <c r="F100" s="405"/>
      <c r="G100" s="405"/>
      <c r="H100" s="405"/>
      <c r="I100" s="405"/>
      <c r="J100" s="405"/>
      <c r="K100" s="405"/>
      <c r="L100" s="405"/>
      <c r="M100" s="405"/>
      <c r="N100" s="405"/>
      <c r="O100" s="405"/>
      <c r="P100" s="405"/>
      <c r="Q100" s="405"/>
      <c r="R100" s="405"/>
      <c r="S100" s="405"/>
      <c r="T100" s="405"/>
      <c r="U100" s="405"/>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BA100" s="113">
        <f t="shared" si="0"/>
        <v>0</v>
      </c>
    </row>
    <row r="101" spans="1:53" x14ac:dyDescent="0.25">
      <c r="A101" s="205"/>
      <c r="B101" s="406" t="s">
        <v>242</v>
      </c>
      <c r="C101" s="405" t="s">
        <v>243</v>
      </c>
      <c r="D101" s="405"/>
      <c r="E101" s="405"/>
      <c r="F101" s="405"/>
      <c r="G101" s="405"/>
      <c r="H101" s="405"/>
      <c r="I101" s="405"/>
      <c r="J101" s="405"/>
      <c r="K101" s="405"/>
      <c r="L101" s="405"/>
      <c r="M101" s="405"/>
      <c r="N101" s="405"/>
      <c r="O101" s="405"/>
      <c r="P101" s="405"/>
      <c r="Q101" s="405"/>
      <c r="R101" s="405"/>
      <c r="S101" s="405"/>
      <c r="T101" s="405"/>
      <c r="U101" s="405"/>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BA101" s="113" t="str">
        <f t="shared" si="0"/>
        <v>Add other sources here</v>
      </c>
    </row>
    <row r="102" spans="1:53" x14ac:dyDescent="0.25">
      <c r="A102" s="205"/>
      <c r="B102" s="406"/>
      <c r="C102" s="405"/>
      <c r="D102" s="405"/>
      <c r="E102" s="405"/>
      <c r="F102" s="405"/>
      <c r="G102" s="405"/>
      <c r="H102" s="405"/>
      <c r="I102" s="405"/>
      <c r="J102" s="405"/>
      <c r="K102" s="405"/>
      <c r="L102" s="405"/>
      <c r="M102" s="405"/>
      <c r="N102" s="405"/>
      <c r="O102" s="405"/>
      <c r="P102" s="405"/>
      <c r="Q102" s="405"/>
      <c r="R102" s="405"/>
      <c r="S102" s="405"/>
      <c r="T102" s="405"/>
      <c r="U102" s="405"/>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row>
    <row r="103" spans="1:53" x14ac:dyDescent="0.25">
      <c r="A103" s="205"/>
      <c r="B103" s="406"/>
      <c r="C103" s="405"/>
      <c r="D103" s="405"/>
      <c r="E103" s="405"/>
      <c r="F103" s="405"/>
      <c r="G103" s="405"/>
      <c r="H103" s="405"/>
      <c r="I103" s="405"/>
      <c r="J103" s="405"/>
      <c r="K103" s="405"/>
      <c r="L103" s="405"/>
      <c r="M103" s="405"/>
      <c r="N103" s="405"/>
      <c r="O103" s="405"/>
      <c r="P103" s="405"/>
      <c r="Q103" s="405"/>
      <c r="R103" s="405"/>
      <c r="S103" s="405"/>
      <c r="T103" s="405"/>
      <c r="U103" s="405"/>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row>
  </sheetData>
  <mergeCells count="147">
    <mergeCell ref="F21:F23"/>
    <mergeCell ref="F24:F25"/>
    <mergeCell ref="B89:C89"/>
    <mergeCell ref="D89:U89"/>
    <mergeCell ref="D81:F82"/>
    <mergeCell ref="D83:F84"/>
    <mergeCell ref="D85:F86"/>
    <mergeCell ref="D87:F88"/>
    <mergeCell ref="B81:C82"/>
    <mergeCell ref="B83:C84"/>
    <mergeCell ref="B85:C86"/>
    <mergeCell ref="B87:C88"/>
    <mergeCell ref="L47:P47"/>
    <mergeCell ref="B46:U46"/>
    <mergeCell ref="Q35:U35"/>
    <mergeCell ref="G35:K35"/>
    <mergeCell ref="L35:P35"/>
    <mergeCell ref="F51:F52"/>
    <mergeCell ref="D53:E54"/>
    <mergeCell ref="F53:F54"/>
    <mergeCell ref="D55:E56"/>
    <mergeCell ref="D45:U45"/>
    <mergeCell ref="B35:F36"/>
    <mergeCell ref="D37:D38"/>
    <mergeCell ref="D39:D40"/>
    <mergeCell ref="E39:F40"/>
    <mergeCell ref="D41:D42"/>
    <mergeCell ref="E41:F42"/>
    <mergeCell ref="D43:D44"/>
    <mergeCell ref="E43:F44"/>
    <mergeCell ref="C99:U99"/>
    <mergeCell ref="B59:C64"/>
    <mergeCell ref="D32:K32"/>
    <mergeCell ref="D33:K33"/>
    <mergeCell ref="F47:F48"/>
    <mergeCell ref="D47:E48"/>
    <mergeCell ref="G67:K67"/>
    <mergeCell ref="L67:P67"/>
    <mergeCell ref="Q67:U67"/>
    <mergeCell ref="G79:K79"/>
    <mergeCell ref="L79:P79"/>
    <mergeCell ref="Q79:U79"/>
    <mergeCell ref="B33:C33"/>
    <mergeCell ref="D75:E76"/>
    <mergeCell ref="F75:F76"/>
    <mergeCell ref="D73:E74"/>
    <mergeCell ref="F73:F74"/>
    <mergeCell ref="C97:U97"/>
    <mergeCell ref="C101:U103"/>
    <mergeCell ref="F69:F70"/>
    <mergeCell ref="D15:K16"/>
    <mergeCell ref="B17:C17"/>
    <mergeCell ref="D17:F17"/>
    <mergeCell ref="B15:C16"/>
    <mergeCell ref="B32:C32"/>
    <mergeCell ref="B30:C30"/>
    <mergeCell ref="B27:C27"/>
    <mergeCell ref="B24:C25"/>
    <mergeCell ref="Q59:U59"/>
    <mergeCell ref="D61:E62"/>
    <mergeCell ref="F61:F62"/>
    <mergeCell ref="B57:C57"/>
    <mergeCell ref="Q47:U47"/>
    <mergeCell ref="D49:E50"/>
    <mergeCell ref="F49:F50"/>
    <mergeCell ref="D51:E52"/>
    <mergeCell ref="B45:C45"/>
    <mergeCell ref="C100:U100"/>
    <mergeCell ref="B31:C31"/>
    <mergeCell ref="F55:F56"/>
    <mergeCell ref="D26:K26"/>
    <mergeCell ref="D31:K31"/>
    <mergeCell ref="D18:F19"/>
    <mergeCell ref="D59:E60"/>
    <mergeCell ref="F59:F60"/>
    <mergeCell ref="B18:C19"/>
    <mergeCell ref="B37:C38"/>
    <mergeCell ref="B39:C40"/>
    <mergeCell ref="B41:C42"/>
    <mergeCell ref="B43:C44"/>
    <mergeCell ref="B34:U34"/>
    <mergeCell ref="D30:K30"/>
    <mergeCell ref="D27:K27"/>
    <mergeCell ref="G20:K20"/>
    <mergeCell ref="Q20:U20"/>
    <mergeCell ref="B21:C23"/>
    <mergeCell ref="D21:E23"/>
    <mergeCell ref="B20:C20"/>
    <mergeCell ref="D20:E20"/>
    <mergeCell ref="L20:P20"/>
    <mergeCell ref="D28:K28"/>
    <mergeCell ref="D29:K29"/>
    <mergeCell ref="B28:C28"/>
    <mergeCell ref="B29:C29"/>
    <mergeCell ref="E37:F38"/>
    <mergeCell ref="B26:C26"/>
    <mergeCell ref="D71:E72"/>
    <mergeCell ref="F71:F72"/>
    <mergeCell ref="D69:E70"/>
    <mergeCell ref="B65:C65"/>
    <mergeCell ref="G47:K47"/>
    <mergeCell ref="D63:E64"/>
    <mergeCell ref="F63:F64"/>
    <mergeCell ref="B47:C48"/>
    <mergeCell ref="B49:C56"/>
    <mergeCell ref="B4:K4"/>
    <mergeCell ref="B14:K14"/>
    <mergeCell ref="D5:K5"/>
    <mergeCell ref="D6:K6"/>
    <mergeCell ref="D7:K7"/>
    <mergeCell ref="D8:K8"/>
    <mergeCell ref="D9:K9"/>
    <mergeCell ref="D10:K10"/>
    <mergeCell ref="D11:K11"/>
    <mergeCell ref="D12:K12"/>
    <mergeCell ref="D13:K13"/>
    <mergeCell ref="B5:C5"/>
    <mergeCell ref="B12:C13"/>
    <mergeCell ref="B6:C6"/>
    <mergeCell ref="B11:C11"/>
    <mergeCell ref="B9:C9"/>
    <mergeCell ref="B10:C10"/>
    <mergeCell ref="B7:C8"/>
    <mergeCell ref="B101:B103"/>
    <mergeCell ref="D24:E25"/>
    <mergeCell ref="C94:U94"/>
    <mergeCell ref="C95:U95"/>
    <mergeCell ref="C96:U96"/>
    <mergeCell ref="C98:U98"/>
    <mergeCell ref="C91:U91"/>
    <mergeCell ref="C92:U92"/>
    <mergeCell ref="C93:U93"/>
    <mergeCell ref="D79:F80"/>
    <mergeCell ref="B78:U78"/>
    <mergeCell ref="B90:U90"/>
    <mergeCell ref="B66:U66"/>
    <mergeCell ref="D67:E68"/>
    <mergeCell ref="F67:F68"/>
    <mergeCell ref="B67:C76"/>
    <mergeCell ref="D77:U77"/>
    <mergeCell ref="D57:U57"/>
    <mergeCell ref="B58:U58"/>
    <mergeCell ref="G59:K59"/>
    <mergeCell ref="L59:P59"/>
    <mergeCell ref="B79:C80"/>
    <mergeCell ref="D65:U65"/>
    <mergeCell ref="B77:C77"/>
  </mergeCells>
  <conditionalFormatting sqref="D7">
    <cfRule type="containsText" dxfId="469" priority="273" operator="containsText" text="Please select">
      <formula>NOT(ISERROR(SEARCH("Please select",D7)))</formula>
    </cfRule>
  </conditionalFormatting>
  <conditionalFormatting sqref="D8 L8:O8">
    <cfRule type="containsText" dxfId="468" priority="272" operator="containsText" text="Other (specify here)">
      <formula>NOT(ISERROR(SEARCH("Other (specify here)",D8)))</formula>
    </cfRule>
  </conditionalFormatting>
  <conditionalFormatting sqref="D9">
    <cfRule type="containsText" dxfId="467" priority="271" operator="containsText" text="Please select">
      <formula>NOT(ISERROR(SEARCH("Please select",D9)))</formula>
    </cfRule>
  </conditionalFormatting>
  <conditionalFormatting sqref="L10:O10">
    <cfRule type="containsText" dxfId="466" priority="270" operator="containsText" text="Specify here">
      <formula>NOT(ISERROR(SEARCH("Specify here",L10)))</formula>
    </cfRule>
  </conditionalFormatting>
  <conditionalFormatting sqref="L11:O11">
    <cfRule type="containsText" dxfId="465" priority="269" operator="containsText" text="Specify here">
      <formula>NOT(ISERROR(SEARCH("Specify here",L11)))</formula>
    </cfRule>
  </conditionalFormatting>
  <conditionalFormatting sqref="D6 L6:O6">
    <cfRule type="containsText" dxfId="464" priority="268" operator="containsText" text="DD-MM-YYYY">
      <formula>NOT(ISERROR(SEARCH("DD-MM-YYYY",D6)))</formula>
    </cfRule>
  </conditionalFormatting>
  <conditionalFormatting sqref="D12 L12:O12">
    <cfRule type="containsText" dxfId="463" priority="265" operator="containsText" text="Select the observed or expected TRL level in 2020">
      <formula>NOT(ISERROR(SEARCH("Select the observed or expected TRL level in 2020",D12)))</formula>
    </cfRule>
    <cfRule type="containsText" dxfId="462" priority="267" operator="containsText" text="Specify here the observed or expected TRL level in 2020">
      <formula>NOT(ISERROR(SEARCH("Specify here the observed or expected TRL level in 2020",D12)))</formula>
    </cfRule>
  </conditionalFormatting>
  <conditionalFormatting sqref="D13 L13:O13">
    <cfRule type="containsText" dxfId="461" priority="266" operator="containsText" text="Explain here">
      <formula>NOT(ISERROR(SEARCH("Explain here",D13)))</formula>
    </cfRule>
  </conditionalFormatting>
  <conditionalFormatting sqref="D32 D30">
    <cfRule type="containsText" dxfId="460" priority="264" operator="containsText" text="Please select">
      <formula>NOT(ISERROR(SEARCH("Please select",D30)))</formula>
    </cfRule>
  </conditionalFormatting>
  <conditionalFormatting sqref="D30 L30:O30">
    <cfRule type="containsText" dxfId="459" priority="260" operator="containsText" text="Specify here">
      <formula>NOT(ISERROR(SEARCH("Specify here",D30)))</formula>
    </cfRule>
  </conditionalFormatting>
  <conditionalFormatting sqref="L27:O28">
    <cfRule type="containsText" dxfId="458" priority="259" operator="containsText" text="Specify here">
      <formula>NOT(ISERROR(SEARCH("Specify here",L27)))</formula>
    </cfRule>
  </conditionalFormatting>
  <conditionalFormatting sqref="L26:O28">
    <cfRule type="containsText" dxfId="457" priority="258" operator="containsText" text="Specify here">
      <formula>NOT(ISERROR(SEARCH("Specify here",L26)))</formula>
    </cfRule>
  </conditionalFormatting>
  <conditionalFormatting sqref="L31:O31">
    <cfRule type="containsText" dxfId="456" priority="257" operator="containsText" text="Specify here">
      <formula>NOT(ISERROR(SEARCH("Specify here",L31)))</formula>
    </cfRule>
  </conditionalFormatting>
  <conditionalFormatting sqref="D33 L33:O33">
    <cfRule type="containsText" dxfId="455" priority="256" operator="containsText" text="Explain here (e.g. other technical dimensions, region covered for potential such as NL or EU)">
      <formula>NOT(ISERROR(SEARCH("Explain here (e.g. other technical dimensions, region covered for potential such as NL or EU)",D33)))</formula>
    </cfRule>
  </conditionalFormatting>
  <conditionalFormatting sqref="L5:O5">
    <cfRule type="containsText" dxfId="454" priority="253" operator="containsText" text="Specify technology option name here">
      <formula>NOT(ISERROR(SEARCH("Specify technology option name here",L5)))</formula>
    </cfRule>
  </conditionalFormatting>
  <conditionalFormatting sqref="D18">
    <cfRule type="containsText" dxfId="453" priority="251" operator="containsText" text="Select Functional Unit above">
      <formula>NOT(ISERROR(SEARCH("Select Functional Unit above",D18)))</formula>
    </cfRule>
  </conditionalFormatting>
  <conditionalFormatting sqref="D49">
    <cfRule type="containsText" dxfId="452" priority="222" operator="containsText" text="Select">
      <formula>NOT(ISERROR(SEARCH("Select",D49)))</formula>
    </cfRule>
  </conditionalFormatting>
  <conditionalFormatting sqref="D71">
    <cfRule type="containsText" dxfId="451" priority="204" operator="containsText" text="Select">
      <formula>NOT(ISERROR(SEARCH("Select",D71)))</formula>
    </cfRule>
  </conditionalFormatting>
  <conditionalFormatting sqref="D73">
    <cfRule type="containsText" dxfId="450" priority="203" operator="containsText" text="Select">
      <formula>NOT(ISERROR(SEARCH("Select",D73)))</formula>
    </cfRule>
  </conditionalFormatting>
  <conditionalFormatting sqref="D51">
    <cfRule type="containsText" dxfId="449" priority="221" operator="containsText" text="Select">
      <formula>NOT(ISERROR(SEARCH("Select",D51)))</formula>
    </cfRule>
  </conditionalFormatting>
  <conditionalFormatting sqref="D75">
    <cfRule type="containsText" dxfId="448" priority="202" operator="containsText" text="Select">
      <formula>NOT(ISERROR(SEARCH("Select",D75)))</formula>
    </cfRule>
  </conditionalFormatting>
  <conditionalFormatting sqref="D53">
    <cfRule type="containsText" dxfId="447" priority="220" operator="containsText" text="Select">
      <formula>NOT(ISERROR(SEARCH("Select",D53)))</formula>
    </cfRule>
  </conditionalFormatting>
  <conditionalFormatting sqref="D55">
    <cfRule type="containsText" dxfId="446" priority="219" operator="containsText" text="Select">
      <formula>NOT(ISERROR(SEARCH("Select",D55)))</formula>
    </cfRule>
  </conditionalFormatting>
  <conditionalFormatting sqref="F49:F56">
    <cfRule type="containsText" dxfId="445" priority="218" operator="containsText" text="Please select">
      <formula>NOT(ISERROR(SEARCH("Please select",F49)))</formula>
    </cfRule>
  </conditionalFormatting>
  <conditionalFormatting sqref="D57">
    <cfRule type="containsText" dxfId="444" priority="217" operator="containsText" text="Explain here (e.g. flexible in and out)">
      <formula>NOT(ISERROR(SEARCH("Explain here (e.g. flexible in and out)",D57)))</formula>
    </cfRule>
  </conditionalFormatting>
  <conditionalFormatting sqref="D61">
    <cfRule type="containsText" dxfId="443" priority="208" operator="containsText" text="Select">
      <formula>NOT(ISERROR(SEARCH("Select",D61)))</formula>
    </cfRule>
  </conditionalFormatting>
  <conditionalFormatting sqref="D65">
    <cfRule type="containsText" dxfId="442" priority="206" operator="containsText" text="Explain here">
      <formula>NOT(ISERROR(SEARCH("Explain here",D65)))</formula>
    </cfRule>
  </conditionalFormatting>
  <conditionalFormatting sqref="D69">
    <cfRule type="containsText" dxfId="441" priority="205" operator="containsText" text="Select">
      <formula>NOT(ISERROR(SEARCH("Select",D69)))</formula>
    </cfRule>
  </conditionalFormatting>
  <conditionalFormatting sqref="F69:F76">
    <cfRule type="containsText" dxfId="440" priority="201" operator="containsText" text="Please select">
      <formula>NOT(ISERROR(SEARCH("Please select",F69)))</formula>
    </cfRule>
  </conditionalFormatting>
  <conditionalFormatting sqref="D77">
    <cfRule type="containsText" dxfId="439" priority="200" operator="containsText" text="Explain here">
      <formula>NOT(ISERROR(SEARCH("Explain here",D77)))</formula>
    </cfRule>
  </conditionalFormatting>
  <conditionalFormatting sqref="D81">
    <cfRule type="containsText" dxfId="438" priority="193" operator="containsText" text="Specify here">
      <formula>NOT(ISERROR(SEARCH("Specify here",D81)))</formula>
    </cfRule>
  </conditionalFormatting>
  <conditionalFormatting sqref="B91 B96 B93:B94 B98 B100">
    <cfRule type="containsText" dxfId="437" priority="192" operator="containsText" text="Specify data sources and references here">
      <formula>NOT(ISERROR(SEARCH("Specify data sources and references here",B91)))</formula>
    </cfRule>
  </conditionalFormatting>
  <conditionalFormatting sqref="D27">
    <cfRule type="containsText" dxfId="436" priority="191" operator="containsText" text="Please select">
      <formula>NOT(ISERROR(SEARCH("Please select",D27)))</formula>
    </cfRule>
  </conditionalFormatting>
  <conditionalFormatting sqref="D27">
    <cfRule type="containsText" dxfId="435" priority="190" operator="containsText" text="Specify here">
      <formula>NOT(ISERROR(SEARCH("Specify here",D27)))</formula>
    </cfRule>
  </conditionalFormatting>
  <conditionalFormatting sqref="D26:D27">
    <cfRule type="containsText" dxfId="434" priority="188" operator="containsText" text="Specify here (if not specified, value will be 1)">
      <formula>NOT(ISERROR(SEARCH("Specify here (if not specified, value will be 1)",D26)))</formula>
    </cfRule>
  </conditionalFormatting>
  <conditionalFormatting sqref="D31">
    <cfRule type="containsText" dxfId="433" priority="187" operator="containsText" text="Please select">
      <formula>NOT(ISERROR(SEARCH("Please select",D31)))</formula>
    </cfRule>
  </conditionalFormatting>
  <conditionalFormatting sqref="D31">
    <cfRule type="containsText" dxfId="432" priority="186" operator="containsText" text="Specify here">
      <formula>NOT(ISERROR(SEARCH("Specify here",D31)))</formula>
    </cfRule>
  </conditionalFormatting>
  <conditionalFormatting sqref="G44:K44">
    <cfRule type="containsText" dxfId="431" priority="185" operator="containsText" text="Reference">
      <formula>NOT(ISERROR(SEARCH("Reference",G44)))</formula>
    </cfRule>
  </conditionalFormatting>
  <conditionalFormatting sqref="L44:P44">
    <cfRule type="containsText" dxfId="430" priority="184" operator="containsText" text="Reference">
      <formula>NOT(ISERROR(SEARCH("Reference",L44)))</formula>
    </cfRule>
  </conditionalFormatting>
  <conditionalFormatting sqref="Q44:U44">
    <cfRule type="containsText" dxfId="429" priority="183" operator="containsText" text="Reference">
      <formula>NOT(ISERROR(SEARCH("Reference",Q44)))</formula>
    </cfRule>
  </conditionalFormatting>
  <conditionalFormatting sqref="E37">
    <cfRule type="containsText" dxfId="428" priority="182" operator="containsText" text="Please select 'Functional Unit' above">
      <formula>NOT(ISERROR(SEARCH("Please select 'Functional Unit' above",E37)))</formula>
    </cfRule>
  </conditionalFormatting>
  <conditionalFormatting sqref="H52:K52 H54:K54 H56:K56 H50:K50">
    <cfRule type="containsText" dxfId="427" priority="178" operator="containsText" text="Reference">
      <formula>NOT(ISERROR(SEARCH("Reference",H50)))</formula>
    </cfRule>
  </conditionalFormatting>
  <conditionalFormatting sqref="M52:P52 M54:P54 M56:P56 M50:P50">
    <cfRule type="containsText" dxfId="426" priority="177" operator="containsText" text="Reference">
      <formula>NOT(ISERROR(SEARCH("Reference",M50)))</formula>
    </cfRule>
  </conditionalFormatting>
  <conditionalFormatting sqref="R52:U52 R54:U54 R56:U56 R50:U50">
    <cfRule type="containsText" dxfId="425" priority="176" operator="containsText" text="Reference">
      <formula>NOT(ISERROR(SEARCH("Reference",R50)))</formula>
    </cfRule>
  </conditionalFormatting>
  <conditionalFormatting sqref="H72:K72 H74:K74 H76:K76 H70:K70">
    <cfRule type="containsText" dxfId="424" priority="172" operator="containsText" text="Reference">
      <formula>NOT(ISERROR(SEARCH("Reference",H70)))</formula>
    </cfRule>
  </conditionalFormatting>
  <conditionalFormatting sqref="M72:P72 M74:P74 M76:P76 M70:P70">
    <cfRule type="containsText" dxfId="423" priority="171" operator="containsText" text="Reference">
      <formula>NOT(ISERROR(SEARCH("Reference",M70)))</formula>
    </cfRule>
  </conditionalFormatting>
  <conditionalFormatting sqref="R72:U72 R74:U74 R76:U76 R70:U70">
    <cfRule type="containsText" dxfId="422" priority="170" operator="containsText" text="Reference">
      <formula>NOT(ISERROR(SEARCH("Reference",R70)))</formula>
    </cfRule>
  </conditionalFormatting>
  <conditionalFormatting sqref="G64:K64 H62:K62">
    <cfRule type="containsText" dxfId="421" priority="169" operator="containsText" text="Reference">
      <formula>NOT(ISERROR(SEARCH("Reference",G62)))</formula>
    </cfRule>
  </conditionalFormatting>
  <conditionalFormatting sqref="L64:P64 M62:P62">
    <cfRule type="containsText" dxfId="420" priority="168" operator="containsText" text="Reference">
      <formula>NOT(ISERROR(SEARCH("Reference",L62)))</formula>
    </cfRule>
  </conditionalFormatting>
  <conditionalFormatting sqref="Q64:U64 R62:U62">
    <cfRule type="containsText" dxfId="419" priority="167" operator="containsText" text="Reference">
      <formula>NOT(ISERROR(SEARCH("Reference",Q62)))</formula>
    </cfRule>
  </conditionalFormatting>
  <conditionalFormatting sqref="H82:K82">
    <cfRule type="containsText" dxfId="418" priority="166" operator="containsText" text="Reference">
      <formula>NOT(ISERROR(SEARCH("Reference",H82)))</formula>
    </cfRule>
  </conditionalFormatting>
  <conditionalFormatting sqref="M82:P82">
    <cfRule type="containsText" dxfId="417" priority="165" operator="containsText" text="Reference">
      <formula>NOT(ISERROR(SEARCH("Reference",M82)))</formula>
    </cfRule>
  </conditionalFormatting>
  <conditionalFormatting sqref="R82:U82">
    <cfRule type="containsText" dxfId="416" priority="164" operator="containsText" text="Reference">
      <formula>NOT(ISERROR(SEARCH("Reference",R82)))</formula>
    </cfRule>
  </conditionalFormatting>
  <conditionalFormatting sqref="D5">
    <cfRule type="containsText" dxfId="415" priority="163" operator="containsText" text="Please select">
      <formula>NOT(ISERROR(SEARCH("Please select",D5)))</formula>
    </cfRule>
  </conditionalFormatting>
  <conditionalFormatting sqref="D5">
    <cfRule type="containsText" dxfId="414" priority="162" operator="containsText" text="Specify here">
      <formula>NOT(ISERROR(SEARCH("Specify here",D5)))</formula>
    </cfRule>
  </conditionalFormatting>
  <conditionalFormatting sqref="D10">
    <cfRule type="containsText" dxfId="413" priority="161" operator="containsText" text="Please select">
      <formula>NOT(ISERROR(SEARCH("Please select",D10)))</formula>
    </cfRule>
  </conditionalFormatting>
  <conditionalFormatting sqref="D15">
    <cfRule type="containsText" dxfId="412" priority="159" operator="containsText" text="Please select">
      <formula>NOT(ISERROR(SEARCH("Please select",D15)))</formula>
    </cfRule>
    <cfRule type="containsText" dxfId="411" priority="160" operator="containsText" text="Please select 'Functional Unit' above">
      <formula>NOT(ISERROR(SEARCH("Please select 'Functional Unit' above",D15)))</formula>
    </cfRule>
  </conditionalFormatting>
  <conditionalFormatting sqref="D28">
    <cfRule type="containsText" dxfId="410" priority="157" operator="containsText" text="Please select">
      <formula>NOT(ISERROR(SEARCH("Please select",D28)))</formula>
    </cfRule>
  </conditionalFormatting>
  <conditionalFormatting sqref="E39 E43">
    <cfRule type="containsText" dxfId="409" priority="153" operator="containsText" text="Please select 'Functional Unit' above">
      <formula>NOT(ISERROR(SEARCH("Please select 'Functional Unit' above",E39)))</formula>
    </cfRule>
  </conditionalFormatting>
  <conditionalFormatting sqref="G52 G54 G56 G50">
    <cfRule type="containsText" dxfId="408" priority="152" operator="containsText" text="Reference">
      <formula>NOT(ISERROR(SEARCH("Reference",G50)))</formula>
    </cfRule>
  </conditionalFormatting>
  <conditionalFormatting sqref="L52 L54 L56 L50">
    <cfRule type="containsText" dxfId="407" priority="151" operator="containsText" text="Reference">
      <formula>NOT(ISERROR(SEARCH("Reference",L50)))</formula>
    </cfRule>
  </conditionalFormatting>
  <conditionalFormatting sqref="Q52 Q54 Q56 Q50">
    <cfRule type="containsText" dxfId="406" priority="150" operator="containsText" text="Reference">
      <formula>NOT(ISERROR(SEARCH("Reference",Q50)))</formula>
    </cfRule>
  </conditionalFormatting>
  <conditionalFormatting sqref="D63">
    <cfRule type="containsText" dxfId="405" priority="149" operator="containsText" text="Select">
      <formula>NOT(ISERROR(SEARCH("Select",D63)))</formula>
    </cfRule>
  </conditionalFormatting>
  <conditionalFormatting sqref="D61:F64">
    <cfRule type="containsText" dxfId="404" priority="148" operator="containsText" text="Specify here">
      <formula>NOT(ISERROR(SEARCH("Specify here",D61)))</formula>
    </cfRule>
  </conditionalFormatting>
  <conditionalFormatting sqref="G62">
    <cfRule type="containsText" dxfId="403" priority="147" operator="containsText" text="Reference">
      <formula>NOT(ISERROR(SEARCH("Reference",G62)))</formula>
    </cfRule>
  </conditionalFormatting>
  <conditionalFormatting sqref="L62">
    <cfRule type="containsText" dxfId="402" priority="146" operator="containsText" text="Reference">
      <formula>NOT(ISERROR(SEARCH("Reference",L62)))</formula>
    </cfRule>
  </conditionalFormatting>
  <conditionalFormatting sqref="Q62">
    <cfRule type="containsText" dxfId="401" priority="145" operator="containsText" text="Reference">
      <formula>NOT(ISERROR(SEARCH("Reference",Q62)))</formula>
    </cfRule>
  </conditionalFormatting>
  <conditionalFormatting sqref="G72 G74 G76 G70">
    <cfRule type="containsText" dxfId="400" priority="144" operator="containsText" text="Reference">
      <formula>NOT(ISERROR(SEARCH("Reference",G70)))</formula>
    </cfRule>
  </conditionalFormatting>
  <conditionalFormatting sqref="L72 L74 L76 L70">
    <cfRule type="containsText" dxfId="399" priority="143" operator="containsText" text="Reference">
      <formula>NOT(ISERROR(SEARCH("Reference",L70)))</formula>
    </cfRule>
  </conditionalFormatting>
  <conditionalFormatting sqref="Q72 Q74 Q76 Q70">
    <cfRule type="containsText" dxfId="398" priority="142" operator="containsText" text="Reference">
      <formula>NOT(ISERROR(SEARCH("Reference",Q70)))</formula>
    </cfRule>
  </conditionalFormatting>
  <conditionalFormatting sqref="B92 B95 B97 B99">
    <cfRule type="containsText" dxfId="397" priority="140" operator="containsText" text="Specify data sources and references here">
      <formula>NOT(ISERROR(SEARCH("Specify data sources and references here",B92)))</formula>
    </cfRule>
  </conditionalFormatting>
  <conditionalFormatting sqref="C101:U103">
    <cfRule type="containsText" dxfId="396" priority="138" operator="containsText" text="Add other sources here">
      <formula>NOT(ISERROR(SEARCH("Add other sources here",C101)))</formula>
    </cfRule>
  </conditionalFormatting>
  <conditionalFormatting sqref="D21">
    <cfRule type="containsText" dxfId="395" priority="135" operator="containsText" text="Please select the region">
      <formula>NOT(ISERROR(SEARCH("Please select the region",D21)))</formula>
    </cfRule>
  </conditionalFormatting>
  <conditionalFormatting sqref="D24">
    <cfRule type="containsText" dxfId="394" priority="134" operator="containsText" text="Specify here the market">
      <formula>NOT(ISERROR(SEARCH("Specify here the market",D24)))</formula>
    </cfRule>
  </conditionalFormatting>
  <conditionalFormatting sqref="G19:K19">
    <cfRule type="containsText" dxfId="393" priority="133" operator="containsText" text="Reference">
      <formula>NOT(ISERROR(SEARCH("Reference",G19)))</formula>
    </cfRule>
  </conditionalFormatting>
  <conditionalFormatting sqref="G23 J23:K23">
    <cfRule type="containsText" dxfId="392" priority="132" operator="containsText" text="Reference">
      <formula>NOT(ISERROR(SEARCH("Reference",G23)))</formula>
    </cfRule>
  </conditionalFormatting>
  <conditionalFormatting sqref="G25:K25">
    <cfRule type="containsText" dxfId="391" priority="131" operator="containsText" text="Reference">
      <formula>NOT(ISERROR(SEARCH("Reference",G25)))</formula>
    </cfRule>
  </conditionalFormatting>
  <conditionalFormatting sqref="G44:U44 G50:U50 G52:U52 G54:U54 G56:U56 G62:U62 G64:U64 G70:U70 G72:U72 G74:U74 G76:U76 H82:K82 M82:P82 R82:U82">
    <cfRule type="containsText" dxfId="390" priority="130" operator="containsText" text="Reference">
      <formula>NOT(ISERROR(SEARCH("Reference",G44)))</formula>
    </cfRule>
  </conditionalFormatting>
  <conditionalFormatting sqref="L25:P25 N23:P23">
    <cfRule type="containsText" dxfId="389" priority="129" operator="containsText" text="Reference">
      <formula>NOT(ISERROR(SEARCH("Reference",L23)))</formula>
    </cfRule>
  </conditionalFormatting>
  <conditionalFormatting sqref="Q25:U25 S23:U23">
    <cfRule type="containsText" dxfId="388" priority="128" operator="containsText" text="Reference">
      <formula>NOT(ISERROR(SEARCH("Reference",Q23)))</formula>
    </cfRule>
  </conditionalFormatting>
  <conditionalFormatting sqref="L25:U25 N23:P23 S23:U23">
    <cfRule type="containsText" dxfId="387" priority="127" operator="containsText" text="Reference">
      <formula>NOT(ISERROR(SEARCH("Reference",L23)))</formula>
    </cfRule>
  </conditionalFormatting>
  <conditionalFormatting sqref="D29">
    <cfRule type="containsText" dxfId="386" priority="124" operator="containsText" text="Please select">
      <formula>NOT(ISERROR(SEARCH("Please select",D29)))</formula>
    </cfRule>
  </conditionalFormatting>
  <conditionalFormatting sqref="D29">
    <cfRule type="containsText" dxfId="385" priority="123" operator="containsText" text="Specify here">
      <formula>NOT(ISERROR(SEARCH("Specify here",D29)))</formula>
    </cfRule>
  </conditionalFormatting>
  <conditionalFormatting sqref="H84:K84 M84:P84 R84:U84">
    <cfRule type="containsText" dxfId="384" priority="118" operator="containsText" text="Reference">
      <formula>NOT(ISERROR(SEARCH("Reference",H84)))</formula>
    </cfRule>
  </conditionalFormatting>
  <conditionalFormatting sqref="H86:K86 M86:P86 R86:U86">
    <cfRule type="containsText" dxfId="383" priority="113" operator="containsText" text="Reference">
      <formula>NOT(ISERROR(SEARCH("Reference",H86)))</formula>
    </cfRule>
  </conditionalFormatting>
  <conditionalFormatting sqref="H88:K88 M88:P88 R88:U88">
    <cfRule type="containsText" dxfId="382" priority="108" operator="containsText" text="Reference">
      <formula>NOT(ISERROR(SEARCH("Reference",H88)))</formula>
    </cfRule>
  </conditionalFormatting>
  <conditionalFormatting sqref="H84:K84">
    <cfRule type="containsText" dxfId="381" priority="121" operator="containsText" text="Reference">
      <formula>NOT(ISERROR(SEARCH("Reference",H84)))</formula>
    </cfRule>
  </conditionalFormatting>
  <conditionalFormatting sqref="M84:P84">
    <cfRule type="containsText" dxfId="380" priority="120" operator="containsText" text="Reference">
      <formula>NOT(ISERROR(SEARCH("Reference",M84)))</formula>
    </cfRule>
  </conditionalFormatting>
  <conditionalFormatting sqref="R84:U84">
    <cfRule type="containsText" dxfId="379" priority="119" operator="containsText" text="Reference">
      <formula>NOT(ISERROR(SEARCH("Reference",R84)))</formula>
    </cfRule>
  </conditionalFormatting>
  <conditionalFormatting sqref="H86:K86">
    <cfRule type="containsText" dxfId="378" priority="116" operator="containsText" text="Reference">
      <formula>NOT(ISERROR(SEARCH("Reference",H86)))</formula>
    </cfRule>
  </conditionalFormatting>
  <conditionalFormatting sqref="M86:P86">
    <cfRule type="containsText" dxfId="377" priority="115" operator="containsText" text="Reference">
      <formula>NOT(ISERROR(SEARCH("Reference",M86)))</formula>
    </cfRule>
  </conditionalFormatting>
  <conditionalFormatting sqref="R86:U86">
    <cfRule type="containsText" dxfId="376" priority="114" operator="containsText" text="Reference">
      <formula>NOT(ISERROR(SEARCH("Reference",R86)))</formula>
    </cfRule>
  </conditionalFormatting>
  <conditionalFormatting sqref="H88:K88">
    <cfRule type="containsText" dxfId="375" priority="111" operator="containsText" text="Reference">
      <formula>NOT(ISERROR(SEARCH("Reference",H88)))</formula>
    </cfRule>
  </conditionalFormatting>
  <conditionalFormatting sqref="M88:P88">
    <cfRule type="containsText" dxfId="374" priority="110" operator="containsText" text="Reference">
      <formula>NOT(ISERROR(SEARCH("Reference",M88)))</formula>
    </cfRule>
  </conditionalFormatting>
  <conditionalFormatting sqref="R88:U88">
    <cfRule type="containsText" dxfId="373" priority="109" operator="containsText" text="Reference">
      <formula>NOT(ISERROR(SEARCH("Reference",R88)))</formula>
    </cfRule>
  </conditionalFormatting>
  <conditionalFormatting sqref="B81">
    <cfRule type="containsText" dxfId="372" priority="103" operator="containsText" text="Add here">
      <formula>NOT(ISERROR(SEARCH("Add here",B81)))</formula>
    </cfRule>
  </conditionalFormatting>
  <conditionalFormatting sqref="B83">
    <cfRule type="containsText" dxfId="371" priority="102" operator="containsText" text="Add here">
      <formula>NOT(ISERROR(SEARCH("Add here",B83)))</formula>
    </cfRule>
  </conditionalFormatting>
  <conditionalFormatting sqref="B85">
    <cfRule type="containsText" dxfId="370" priority="101" operator="containsText" text="Add here">
      <formula>NOT(ISERROR(SEARCH("Add here",B85)))</formula>
    </cfRule>
  </conditionalFormatting>
  <conditionalFormatting sqref="B87">
    <cfRule type="containsText" dxfId="369" priority="100" operator="containsText" text="Add here">
      <formula>NOT(ISERROR(SEARCH("Add here",B87)))</formula>
    </cfRule>
  </conditionalFormatting>
  <conditionalFormatting sqref="G84 G86 G88 G82">
    <cfRule type="containsText" dxfId="368" priority="96" operator="containsText" text="Reference">
      <formula>NOT(ISERROR(SEARCH("Reference",G82)))</formula>
    </cfRule>
  </conditionalFormatting>
  <conditionalFormatting sqref="G82 G84 G86 G88">
    <cfRule type="containsText" dxfId="367" priority="95" operator="containsText" text="Reference">
      <formula>NOT(ISERROR(SEARCH("Reference",G82)))</formula>
    </cfRule>
  </conditionalFormatting>
  <conditionalFormatting sqref="L84 L86 L88 L82">
    <cfRule type="containsText" dxfId="366" priority="94" operator="containsText" text="Reference">
      <formula>NOT(ISERROR(SEARCH("Reference",L82)))</formula>
    </cfRule>
  </conditionalFormatting>
  <conditionalFormatting sqref="L82 L84 L86 L88">
    <cfRule type="containsText" dxfId="365" priority="93" operator="containsText" text="Reference">
      <formula>NOT(ISERROR(SEARCH("Reference",L82)))</formula>
    </cfRule>
  </conditionalFormatting>
  <conditionalFormatting sqref="Q84 Q86 Q88 Q82">
    <cfRule type="containsText" dxfId="364" priority="92" operator="containsText" text="Reference">
      <formula>NOT(ISERROR(SEARCH("Reference",Q82)))</formula>
    </cfRule>
  </conditionalFormatting>
  <conditionalFormatting sqref="Q82 Q84 Q86 Q88">
    <cfRule type="containsText" dxfId="363" priority="91" operator="containsText" text="Reference">
      <formula>NOT(ISERROR(SEARCH("Reference",Q82)))</formula>
    </cfRule>
  </conditionalFormatting>
  <conditionalFormatting sqref="D89">
    <cfRule type="containsText" dxfId="362" priority="90" operator="containsText" text="Explain here">
      <formula>NOT(ISERROR(SEARCH("Explain here",D89)))</formula>
    </cfRule>
  </conditionalFormatting>
  <conditionalFormatting sqref="D83">
    <cfRule type="containsText" dxfId="361" priority="89" operator="containsText" text="Specify here">
      <formula>NOT(ISERROR(SEARCH("Specify here",D83)))</formula>
    </cfRule>
  </conditionalFormatting>
  <conditionalFormatting sqref="D85">
    <cfRule type="containsText" dxfId="360" priority="88" operator="containsText" text="Specify here">
      <formula>NOT(ISERROR(SEARCH("Specify here",D85)))</formula>
    </cfRule>
  </conditionalFormatting>
  <conditionalFormatting sqref="D87">
    <cfRule type="containsText" dxfId="359" priority="87" operator="containsText" text="Specify here">
      <formula>NOT(ISERROR(SEARCH("Specify here",D87)))</formula>
    </cfRule>
  </conditionalFormatting>
  <conditionalFormatting sqref="F21">
    <cfRule type="containsText" dxfId="358" priority="85" operator="containsText" text="Please select">
      <formula>NOT(ISERROR(SEARCH("Please select",F21)))</formula>
    </cfRule>
  </conditionalFormatting>
  <conditionalFormatting sqref="F24">
    <cfRule type="containsText" dxfId="357" priority="84" operator="containsText" text="Select Functional Unit above">
      <formula>NOT(ISERROR(SEARCH("Select Functional Unit above",F24)))</formula>
    </cfRule>
  </conditionalFormatting>
  <conditionalFormatting sqref="E41">
    <cfRule type="containsText" dxfId="356" priority="75" operator="containsText" text="Please select 'Functional Unit' above">
      <formula>NOT(ISERROR(SEARCH("Please select 'Functional Unit' above",E41)))</formula>
    </cfRule>
  </conditionalFormatting>
  <conditionalFormatting sqref="N23">
    <cfRule type="containsText" dxfId="355" priority="74" operator="containsText" text="Reference">
      <formula>NOT(ISERROR(SEARCH("Reference",N23)))</formula>
    </cfRule>
  </conditionalFormatting>
  <conditionalFormatting sqref="I23">
    <cfRule type="containsText" dxfId="354" priority="72" operator="containsText" text="Reference">
      <formula>NOT(ISERROR(SEARCH("Reference",I23)))</formula>
    </cfRule>
  </conditionalFormatting>
  <conditionalFormatting sqref="I23">
    <cfRule type="containsText" dxfId="353" priority="71" operator="containsText" text="Reference">
      <formula>NOT(ISERROR(SEARCH("Reference",I23)))</formula>
    </cfRule>
  </conditionalFormatting>
  <conditionalFormatting sqref="H23">
    <cfRule type="containsText" dxfId="352" priority="70" operator="containsText" text="Reference">
      <formula>NOT(ISERROR(SEARCH("Reference",H23)))</formula>
    </cfRule>
  </conditionalFormatting>
  <conditionalFormatting sqref="H23">
    <cfRule type="containsText" dxfId="351" priority="69" operator="containsText" text="Reference">
      <formula>NOT(ISERROR(SEARCH("Reference",H23)))</formula>
    </cfRule>
  </conditionalFormatting>
  <conditionalFormatting sqref="L23">
    <cfRule type="containsText" dxfId="350" priority="68" operator="containsText" text="Reference">
      <formula>NOT(ISERROR(SEARCH("Reference",L23)))</formula>
    </cfRule>
  </conditionalFormatting>
  <conditionalFormatting sqref="M23">
    <cfRule type="containsText" dxfId="349" priority="67" operator="containsText" text="Reference">
      <formula>NOT(ISERROR(SEARCH("Reference",M23)))</formula>
    </cfRule>
  </conditionalFormatting>
  <conditionalFormatting sqref="M23">
    <cfRule type="containsText" dxfId="348" priority="66" operator="containsText" text="Reference">
      <formula>NOT(ISERROR(SEARCH("Reference",M23)))</formula>
    </cfRule>
  </conditionalFormatting>
  <conditionalFormatting sqref="Q23">
    <cfRule type="containsText" dxfId="347" priority="65" operator="containsText" text="Reference">
      <formula>NOT(ISERROR(SEARCH("Reference",Q23)))</formula>
    </cfRule>
  </conditionalFormatting>
  <conditionalFormatting sqref="R23">
    <cfRule type="containsText" dxfId="346" priority="64" operator="containsText" text="Reference">
      <formula>NOT(ISERROR(SEARCH("Reference",R23)))</formula>
    </cfRule>
  </conditionalFormatting>
  <conditionalFormatting sqref="R23">
    <cfRule type="containsText" dxfId="345" priority="63" operator="containsText" text="Reference">
      <formula>NOT(ISERROR(SEARCH("Reference",R23)))</formula>
    </cfRule>
  </conditionalFormatting>
  <conditionalFormatting sqref="D11">
    <cfRule type="containsText" dxfId="344" priority="61" operator="containsText" text="Specify here">
      <formula>NOT(ISERROR(SEARCH("Specify here",D11)))</formula>
    </cfRule>
  </conditionalFormatting>
  <conditionalFormatting sqref="G38:K38">
    <cfRule type="containsText" dxfId="343" priority="60" operator="containsText" text="Reference">
      <formula>NOT(ISERROR(SEARCH("Reference",G38)))</formula>
    </cfRule>
  </conditionalFormatting>
  <conditionalFormatting sqref="L38:P38">
    <cfRule type="containsText" dxfId="342" priority="59" operator="containsText" text="Reference">
      <formula>NOT(ISERROR(SEARCH("Reference",L38)))</formula>
    </cfRule>
  </conditionalFormatting>
  <conditionalFormatting sqref="Q38:U38">
    <cfRule type="containsText" dxfId="341" priority="58" operator="containsText" text="Reference">
      <formula>NOT(ISERROR(SEARCH("Reference",Q38)))</formula>
    </cfRule>
  </conditionalFormatting>
  <conditionalFormatting sqref="G38:U38">
    <cfRule type="containsText" dxfId="340" priority="57" operator="containsText" text="Reference">
      <formula>NOT(ISERROR(SEARCH("Reference",G38)))</formula>
    </cfRule>
  </conditionalFormatting>
  <conditionalFormatting sqref="L38">
    <cfRule type="containsText" dxfId="339" priority="56" operator="containsText" text="Reference">
      <formula>NOT(ISERROR(SEARCH("Reference",L38)))</formula>
    </cfRule>
  </conditionalFormatting>
  <conditionalFormatting sqref="M38">
    <cfRule type="containsText" dxfId="338" priority="55" operator="containsText" text="Reference">
      <formula>NOT(ISERROR(SEARCH("Reference",M38)))</formula>
    </cfRule>
  </conditionalFormatting>
  <conditionalFormatting sqref="N38">
    <cfRule type="containsText" dxfId="337" priority="54" operator="containsText" text="Reference">
      <formula>NOT(ISERROR(SEARCH("Reference",N38)))</formula>
    </cfRule>
  </conditionalFormatting>
  <conditionalFormatting sqref="Q38">
    <cfRule type="containsText" dxfId="336" priority="53" operator="containsText" text="Reference">
      <formula>NOT(ISERROR(SEARCH("Reference",Q38)))</formula>
    </cfRule>
  </conditionalFormatting>
  <conditionalFormatting sqref="R38">
    <cfRule type="containsText" dxfId="335" priority="52" operator="containsText" text="Reference">
      <formula>NOT(ISERROR(SEARCH("Reference",R38)))</formula>
    </cfRule>
  </conditionalFormatting>
  <conditionalFormatting sqref="S38">
    <cfRule type="containsText" dxfId="334" priority="51" operator="containsText" text="Reference">
      <formula>NOT(ISERROR(SEARCH("Reference",S38)))</formula>
    </cfRule>
  </conditionalFormatting>
  <conditionalFormatting sqref="L38">
    <cfRule type="containsText" dxfId="333" priority="50" operator="containsText" text="Reference">
      <formula>NOT(ISERROR(SEARCH("Reference",L38)))</formula>
    </cfRule>
  </conditionalFormatting>
  <conditionalFormatting sqref="N38">
    <cfRule type="containsText" dxfId="332" priority="49" operator="containsText" text="Reference">
      <formula>NOT(ISERROR(SEARCH("Reference",N38)))</formula>
    </cfRule>
  </conditionalFormatting>
  <conditionalFormatting sqref="Q38">
    <cfRule type="containsText" dxfId="331" priority="48" operator="containsText" text="Reference">
      <formula>NOT(ISERROR(SEARCH("Reference",Q38)))</formula>
    </cfRule>
  </conditionalFormatting>
  <conditionalFormatting sqref="Q38">
    <cfRule type="containsText" dxfId="330" priority="47" operator="containsText" text="Reference">
      <formula>NOT(ISERROR(SEARCH("Reference",Q38)))</formula>
    </cfRule>
  </conditionalFormatting>
  <conditionalFormatting sqref="R38">
    <cfRule type="containsText" dxfId="329" priority="46" operator="containsText" text="Reference">
      <formula>NOT(ISERROR(SEARCH("Reference",R38)))</formula>
    </cfRule>
  </conditionalFormatting>
  <conditionalFormatting sqref="R38">
    <cfRule type="containsText" dxfId="328" priority="45" operator="containsText" text="Reference">
      <formula>NOT(ISERROR(SEARCH("Reference",R38)))</formula>
    </cfRule>
  </conditionalFormatting>
  <conditionalFormatting sqref="U38">
    <cfRule type="containsText" dxfId="327" priority="44" operator="containsText" text="Reference">
      <formula>NOT(ISERROR(SEARCH("Reference",U38)))</formula>
    </cfRule>
  </conditionalFormatting>
  <conditionalFormatting sqref="U38">
    <cfRule type="containsText" dxfId="326" priority="43" operator="containsText" text="Reference">
      <formula>NOT(ISERROR(SEARCH("Reference",U38)))</formula>
    </cfRule>
  </conditionalFormatting>
  <conditionalFormatting sqref="M38">
    <cfRule type="containsText" dxfId="325" priority="42" operator="containsText" text="Reference">
      <formula>NOT(ISERROR(SEARCH("Reference",M38)))</formula>
    </cfRule>
  </conditionalFormatting>
  <conditionalFormatting sqref="M38">
    <cfRule type="containsText" dxfId="324" priority="41" operator="containsText" text="Reference">
      <formula>NOT(ISERROR(SEARCH("Reference",M38)))</formula>
    </cfRule>
  </conditionalFormatting>
  <conditionalFormatting sqref="N38">
    <cfRule type="containsText" dxfId="323" priority="40" operator="containsText" text="Reference">
      <formula>NOT(ISERROR(SEARCH("Reference",N38)))</formula>
    </cfRule>
  </conditionalFormatting>
  <conditionalFormatting sqref="N38">
    <cfRule type="containsText" dxfId="322" priority="39" operator="containsText" text="Reference">
      <formula>NOT(ISERROR(SEARCH("Reference",N38)))</formula>
    </cfRule>
  </conditionalFormatting>
  <conditionalFormatting sqref="Q38">
    <cfRule type="containsText" dxfId="321" priority="38" operator="containsText" text="Reference">
      <formula>NOT(ISERROR(SEARCH("Reference",Q38)))</formula>
    </cfRule>
  </conditionalFormatting>
  <conditionalFormatting sqref="Q38">
    <cfRule type="containsText" dxfId="320" priority="37" operator="containsText" text="Reference">
      <formula>NOT(ISERROR(SEARCH("Reference",Q38)))</formula>
    </cfRule>
  </conditionalFormatting>
  <conditionalFormatting sqref="Q38">
    <cfRule type="containsText" dxfId="319" priority="36" operator="containsText" text="Reference">
      <formula>NOT(ISERROR(SEARCH("Reference",Q38)))</formula>
    </cfRule>
  </conditionalFormatting>
  <conditionalFormatting sqref="R38">
    <cfRule type="containsText" dxfId="318" priority="35" operator="containsText" text="Reference">
      <formula>NOT(ISERROR(SEARCH("Reference",R38)))</formula>
    </cfRule>
  </conditionalFormatting>
  <conditionalFormatting sqref="R38">
    <cfRule type="containsText" dxfId="317" priority="34" operator="containsText" text="Reference">
      <formula>NOT(ISERROR(SEARCH("Reference",R38)))</formula>
    </cfRule>
  </conditionalFormatting>
  <conditionalFormatting sqref="R38">
    <cfRule type="containsText" dxfId="316" priority="33" operator="containsText" text="Reference">
      <formula>NOT(ISERROR(SEARCH("Reference",R38)))</formula>
    </cfRule>
  </conditionalFormatting>
  <conditionalFormatting sqref="S38">
    <cfRule type="containsText" dxfId="315" priority="32" operator="containsText" text="Reference">
      <formula>NOT(ISERROR(SEARCH("Reference",S38)))</formula>
    </cfRule>
  </conditionalFormatting>
  <conditionalFormatting sqref="S38">
    <cfRule type="containsText" dxfId="314" priority="31" operator="containsText" text="Reference">
      <formula>NOT(ISERROR(SEARCH("Reference",S38)))</formula>
    </cfRule>
  </conditionalFormatting>
  <conditionalFormatting sqref="S38">
    <cfRule type="containsText" dxfId="313" priority="30" operator="containsText" text="Reference">
      <formula>NOT(ISERROR(SEARCH("Reference",S38)))</formula>
    </cfRule>
  </conditionalFormatting>
  <conditionalFormatting sqref="G40:K40">
    <cfRule type="containsText" dxfId="312" priority="29" operator="containsText" text="Reference">
      <formula>NOT(ISERROR(SEARCH("Reference",G40)))</formula>
    </cfRule>
  </conditionalFormatting>
  <conditionalFormatting sqref="L40:P40">
    <cfRule type="containsText" dxfId="311" priority="28" operator="containsText" text="Reference">
      <formula>NOT(ISERROR(SEARCH("Reference",L40)))</formula>
    </cfRule>
  </conditionalFormatting>
  <conditionalFormatting sqref="Q40:U40">
    <cfRule type="containsText" dxfId="310" priority="27" operator="containsText" text="Reference">
      <formula>NOT(ISERROR(SEARCH("Reference",Q40)))</formula>
    </cfRule>
  </conditionalFormatting>
  <conditionalFormatting sqref="G40:U40">
    <cfRule type="containsText" dxfId="309" priority="26" operator="containsText" text="Reference">
      <formula>NOT(ISERROR(SEARCH("Reference",G40)))</formula>
    </cfRule>
  </conditionalFormatting>
  <conditionalFormatting sqref="L40">
    <cfRule type="containsText" dxfId="308" priority="25" operator="containsText" text="Reference">
      <formula>NOT(ISERROR(SEARCH("Reference",L40)))</formula>
    </cfRule>
  </conditionalFormatting>
  <conditionalFormatting sqref="Q40">
    <cfRule type="containsText" dxfId="307" priority="24" operator="containsText" text="Reference">
      <formula>NOT(ISERROR(SEARCH("Reference",Q40)))</formula>
    </cfRule>
  </conditionalFormatting>
  <conditionalFormatting sqref="L40">
    <cfRule type="containsText" dxfId="306" priority="23" operator="containsText" text="Reference">
      <formula>NOT(ISERROR(SEARCH("Reference",L40)))</formula>
    </cfRule>
  </conditionalFormatting>
  <conditionalFormatting sqref="Q40">
    <cfRule type="containsText" dxfId="305" priority="22" operator="containsText" text="Reference">
      <formula>NOT(ISERROR(SEARCH("Reference",Q40)))</formula>
    </cfRule>
  </conditionalFormatting>
  <conditionalFormatting sqref="Q40">
    <cfRule type="containsText" dxfId="304" priority="21" operator="containsText" text="Reference">
      <formula>NOT(ISERROR(SEARCH("Reference",Q40)))</formula>
    </cfRule>
  </conditionalFormatting>
  <conditionalFormatting sqref="Q40">
    <cfRule type="containsText" dxfId="303" priority="20" operator="containsText" text="Reference">
      <formula>NOT(ISERROR(SEARCH("Reference",Q40)))</formula>
    </cfRule>
  </conditionalFormatting>
  <conditionalFormatting sqref="Q40">
    <cfRule type="containsText" dxfId="302" priority="19" operator="containsText" text="Reference">
      <formula>NOT(ISERROR(SEARCH("Reference",Q40)))</formula>
    </cfRule>
  </conditionalFormatting>
  <conditionalFormatting sqref="Q40">
    <cfRule type="containsText" dxfId="301" priority="18" operator="containsText" text="Reference">
      <formula>NOT(ISERROR(SEARCH("Reference",Q40)))</formula>
    </cfRule>
  </conditionalFormatting>
  <conditionalFormatting sqref="Q40">
    <cfRule type="containsText" dxfId="300" priority="17" operator="containsText" text="Reference">
      <formula>NOT(ISERROR(SEARCH("Reference",Q40)))</formula>
    </cfRule>
  </conditionalFormatting>
  <conditionalFormatting sqref="G42:K42">
    <cfRule type="containsText" dxfId="299" priority="16" operator="containsText" text="Reference">
      <formula>NOT(ISERROR(SEARCH("Reference",G42)))</formula>
    </cfRule>
  </conditionalFormatting>
  <conditionalFormatting sqref="L42:P42">
    <cfRule type="containsText" dxfId="298" priority="15" operator="containsText" text="Reference">
      <formula>NOT(ISERROR(SEARCH("Reference",L42)))</formula>
    </cfRule>
  </conditionalFormatting>
  <conditionalFormatting sqref="Q42:U42">
    <cfRule type="containsText" dxfId="297" priority="14" operator="containsText" text="Reference">
      <formula>NOT(ISERROR(SEARCH("Reference",Q42)))</formula>
    </cfRule>
  </conditionalFormatting>
  <conditionalFormatting sqref="G42:U42">
    <cfRule type="containsText" dxfId="296" priority="13" operator="containsText" text="Reference">
      <formula>NOT(ISERROR(SEARCH("Reference",G42)))</formula>
    </cfRule>
  </conditionalFormatting>
  <conditionalFormatting sqref="L42">
    <cfRule type="containsText" dxfId="295" priority="12" operator="containsText" text="Reference">
      <formula>NOT(ISERROR(SEARCH("Reference",L42)))</formula>
    </cfRule>
  </conditionalFormatting>
  <conditionalFormatting sqref="Q42">
    <cfRule type="containsText" dxfId="294" priority="11" operator="containsText" text="Reference">
      <formula>NOT(ISERROR(SEARCH("Reference",Q42)))</formula>
    </cfRule>
  </conditionalFormatting>
  <conditionalFormatting sqref="L42">
    <cfRule type="containsText" dxfId="293" priority="10" operator="containsText" text="Reference">
      <formula>NOT(ISERROR(SEARCH("Reference",L42)))</formula>
    </cfRule>
  </conditionalFormatting>
  <conditionalFormatting sqref="Q42">
    <cfRule type="containsText" dxfId="292" priority="9" operator="containsText" text="Reference">
      <formula>NOT(ISERROR(SEARCH("Reference",Q42)))</formula>
    </cfRule>
  </conditionalFormatting>
  <conditionalFormatting sqref="Q42">
    <cfRule type="containsText" dxfId="291" priority="8" operator="containsText" text="Reference">
      <formula>NOT(ISERROR(SEARCH("Reference",Q42)))</formula>
    </cfRule>
  </conditionalFormatting>
  <conditionalFormatting sqref="Q42">
    <cfRule type="containsText" dxfId="290" priority="7" operator="containsText" text="Reference">
      <formula>NOT(ISERROR(SEARCH("Reference",Q42)))</formula>
    </cfRule>
  </conditionalFormatting>
  <conditionalFormatting sqref="Q42">
    <cfRule type="containsText" dxfId="289" priority="6" operator="containsText" text="Reference">
      <formula>NOT(ISERROR(SEARCH("Reference",Q42)))</formula>
    </cfRule>
  </conditionalFormatting>
  <conditionalFormatting sqref="Q42">
    <cfRule type="containsText" dxfId="288" priority="5" operator="containsText" text="Reference">
      <formula>NOT(ISERROR(SEARCH("Reference",Q42)))</formula>
    </cfRule>
  </conditionalFormatting>
  <conditionalFormatting sqref="Q42">
    <cfRule type="containsText" dxfId="287" priority="4" operator="containsText" text="Reference">
      <formula>NOT(ISERROR(SEARCH("Reference",Q42)))</formula>
    </cfRule>
  </conditionalFormatting>
  <conditionalFormatting sqref="C91:U91">
    <cfRule type="containsText" dxfId="286" priority="2" operator="containsText" text="Specify complete references and data sources used here">
      <formula>NOT(ISERROR(SEARCH("Specify complete references and data sources used here",C91)))</formula>
    </cfRule>
  </conditionalFormatting>
  <conditionalFormatting sqref="D45">
    <cfRule type="containsText" dxfId="285" priority="1" operator="containsText" text="Explain here (e.g. other costs)">
      <formula>NOT(ISERROR(SEARCH("Explain here (e.g. other costs)",D45)))</formula>
    </cfRule>
  </conditionalFormatting>
  <dataValidations count="7">
    <dataValidation allowBlank="1" showInputMessage="1" showErrorMessage="1" prompt="More details are found in 'READ ME' tab" sqref="D13" xr:uid="{B4D7B7FC-E8D7-4C1B-974F-5315503DC18D}"/>
    <dataValidation type="textLength" operator="lessThanOrEqual" allowBlank="1" showInputMessage="1" showErrorMessage="1" error="The cell only allows up to 700 characters._x000a_" prompt="Maximum length: 700 characters" sqref="L11:O11" xr:uid="{C5AE93C3-C533-4DD9-9795-E0F27DA99FD2}">
      <formula1>700</formula1>
    </dataValidation>
    <dataValidation type="list" allowBlank="1" showInputMessage="1" showErrorMessage="1" sqref="L32:O32" xr:uid="{9901DC60-A1E1-4973-90BC-3DD1AF773D91}">
      <formula1>$X$6:$X$8</formula1>
    </dataValidation>
    <dataValidation type="list" allowBlank="1" showInputMessage="1" showErrorMessage="1" sqref="L9:O9" xr:uid="{F5BF810B-B1A7-456C-9F71-FBD4C582EC0E}">
      <formula1>$X$1:$X$4</formula1>
    </dataValidation>
    <dataValidation type="list" allowBlank="1" showInputMessage="1" showErrorMessage="1" sqref="L10:O10" xr:uid="{29D3573C-0C52-46C7-9055-4E9461B109EE}">
      <formula1>$D$3:$D$14</formula1>
    </dataValidation>
    <dataValidation type="list" allowBlank="1" showInputMessage="1" showErrorMessage="1" sqref="L7:O7" xr:uid="{D86DA10A-1FF8-4068-B238-00E13191ECA8}">
      <formula1>$B$3:$B$24</formula1>
    </dataValidation>
    <dataValidation type="list" allowBlank="1" showInputMessage="1" showErrorMessage="1" prompt="More details are found in 'READ ME' tab" sqref="L12:O12" xr:uid="{455B2EE1-DA0C-4FC7-8B40-616F3DC8FB94}">
      <formula1>$C$17:$C$29</formula1>
    </dataValidation>
  </dataValidations>
  <pageMargins left="0.7" right="0.7" top="0.75" bottom="0.75" header="0.3" footer="0.3"/>
  <pageSetup paperSize="9" scale="31"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prompt="More details are found in 'READ ME' tab" xr:uid="{3B2EFD59-C82A-4C21-BC7E-5967DA275EBD}">
          <x14:formula1>
            <xm:f>'READ ME'!$C$26:$C$34</xm:f>
          </x14:formula1>
          <xm:sqref>D12</xm:sqref>
        </x14:dataValidation>
        <x14:dataValidation type="list" allowBlank="1" showInputMessage="1" showErrorMessage="1" xr:uid="{F2D99DDC-1834-4945-A4B5-BD6659E600DE}">
          <x14:formula1>
            <xm:f>List!$X$6:$X$8</xm:f>
          </x14:formula1>
          <xm:sqref>D32</xm:sqref>
        </x14:dataValidation>
        <x14:dataValidation type="list" allowBlank="1" showInputMessage="1" showErrorMessage="1" xr:uid="{FCF60EDD-8723-4377-A8DE-0FD5E2B16B26}">
          <x14:formula1>
            <xm:f>List!$D$3:$D$17</xm:f>
          </x14:formula1>
          <xm:sqref>D10</xm:sqref>
        </x14:dataValidation>
        <x14:dataValidation type="list" allowBlank="1" showInputMessage="1" showErrorMessage="1" xr:uid="{76FA057E-DA0C-4011-B7C0-B5F22923686A}">
          <x14:formula1>
            <xm:f>List!$R$3:$R$6</xm:f>
          </x14:formula1>
          <xm:sqref>F69:F76</xm:sqref>
        </x14:dataValidation>
        <x14:dataValidation type="list" allowBlank="1" showInputMessage="1" showErrorMessage="1" xr:uid="{5C14CD96-F0E1-44BA-B106-C1D8217234AF}">
          <x14:formula1>
            <xm:f>List!$H$3:$H$10</xm:f>
          </x14:formula1>
          <xm:sqref>D28</xm:sqref>
        </x14:dataValidation>
        <x14:dataValidation type="list" allowBlank="1" showInputMessage="1" showErrorMessage="1" xr:uid="{514D6F72-5CFB-457A-96D1-251F32E68A05}">
          <x14:formula1>
            <xm:f>List!$F$3:$F$18</xm:f>
          </x14:formula1>
          <xm:sqref>D15:K16 F21</xm:sqref>
        </x14:dataValidation>
        <x14:dataValidation type="list" allowBlank="1" showInputMessage="1" showErrorMessage="1" xr:uid="{CF760670-593A-41D1-8C54-DCBEC36DBEBD}">
          <x14:formula1>
            <xm:f>List!$X$2:$X$4</xm:f>
          </x14:formula1>
          <xm:sqref>D9:K9</xm:sqref>
        </x14:dataValidation>
        <x14:dataValidation type="list" allowBlank="1" showInputMessage="1" showErrorMessage="1" xr:uid="{EDECACFC-8F15-4C64-B465-E09030EB7C87}">
          <x14:formula1>
            <xm:f>List!$P$3:$P$13</xm:f>
          </x14:formula1>
          <xm:sqref>D69:E76</xm:sqref>
        </x14:dataValidation>
        <x14:dataValidation type="list" allowBlank="1" showInputMessage="1" showErrorMessage="1" xr:uid="{B0DBFE3B-5AB8-4599-A340-DC1026EACFA2}">
          <x14:formula1>
            <xm:f>List!$J$2:$J$74</xm:f>
          </x14:formula1>
          <xm:sqref>D49:E50</xm:sqref>
        </x14:dataValidation>
        <x14:dataValidation type="list" allowBlank="1" showInputMessage="1" showErrorMessage="1" xr:uid="{6024F62B-4B5B-4E7B-B1C0-DD051F3161C6}">
          <x14:formula1>
            <xm:f>List!$X$10:$X$13</xm:f>
          </x14:formula1>
          <xm:sqref>D21:E23</xm:sqref>
        </x14:dataValidation>
        <x14:dataValidation type="list" allowBlank="1" showInputMessage="1" showErrorMessage="1" xr:uid="{67E90E8D-C3BA-4EE5-A845-0834B3E011DB}">
          <x14:formula1>
            <xm:f>List!$J$3:$J$68</xm:f>
          </x14:formula1>
          <xm:sqref>D51:E56</xm:sqref>
        </x14:dataValidation>
        <x14:dataValidation type="list" allowBlank="1" showInputMessage="1" showErrorMessage="1" xr:uid="{324BA640-E1AE-435C-AD75-952525A1E97F}">
          <x14:formula1>
            <xm:f>List!$B$3:$B$27</xm:f>
          </x14:formula1>
          <xm:sqref>D7:K7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75"/>
  <sheetViews>
    <sheetView tabSelected="1" topLeftCell="A9" zoomScale="110" zoomScaleNormal="110" zoomScaleSheetLayoutView="90" workbookViewId="0">
      <selection activeCell="D4" sqref="D4:O4"/>
    </sheetView>
  </sheetViews>
  <sheetFormatPr defaultColWidth="11" defaultRowHeight="15.75" x14ac:dyDescent="0.25"/>
  <cols>
    <col min="1" max="1" width="4.875" customWidth="1"/>
    <col min="2" max="3" width="15.5" customWidth="1"/>
    <col min="4" max="4" width="13.625" customWidth="1"/>
    <col min="5" max="5" width="13.75" customWidth="1"/>
    <col min="6" max="6" width="10.875" customWidth="1"/>
    <col min="52" max="52" width="131" hidden="1" customWidth="1"/>
  </cols>
  <sheetData>
    <row r="1" spans="1:52" ht="21" x14ac:dyDescent="0.35">
      <c r="B1" s="4" t="s">
        <v>244</v>
      </c>
      <c r="C1" s="2"/>
      <c r="D1" s="2"/>
      <c r="E1" s="2"/>
      <c r="F1" s="2"/>
      <c r="G1" s="2"/>
      <c r="H1" s="2"/>
      <c r="I1" s="2"/>
      <c r="J1" s="2"/>
      <c r="K1" s="2"/>
      <c r="L1" s="2"/>
      <c r="M1" s="2"/>
      <c r="N1" s="2"/>
      <c r="O1" s="2"/>
      <c r="AZ1" s="114"/>
    </row>
    <row r="2" spans="1:52" ht="24" customHeight="1" thickBot="1" x14ac:dyDescent="0.3">
      <c r="A2" s="2"/>
      <c r="B2" s="2"/>
      <c r="C2" s="2"/>
      <c r="D2" s="2"/>
      <c r="E2" s="2"/>
      <c r="F2" s="2"/>
      <c r="G2" s="2"/>
      <c r="H2" s="2"/>
      <c r="I2" s="2"/>
      <c r="J2" s="2"/>
      <c r="K2" s="2"/>
      <c r="L2" s="2"/>
      <c r="M2" s="2"/>
      <c r="N2" s="2"/>
      <c r="O2" s="2"/>
      <c r="P2" s="1"/>
      <c r="Q2" s="1"/>
      <c r="R2" s="1"/>
      <c r="AZ2" s="114"/>
    </row>
    <row r="3" spans="1:52" ht="22.5" thickTop="1" thickBot="1" x14ac:dyDescent="0.3">
      <c r="A3" s="2"/>
      <c r="B3" s="540" t="s">
        <v>245</v>
      </c>
      <c r="C3" s="541"/>
      <c r="D3" s="541"/>
      <c r="E3" s="541"/>
      <c r="F3" s="541"/>
      <c r="G3" s="541"/>
      <c r="H3" s="541"/>
      <c r="I3" s="541"/>
      <c r="J3" s="541"/>
      <c r="K3" s="541"/>
      <c r="L3" s="541"/>
      <c r="M3" s="541"/>
      <c r="N3" s="541"/>
      <c r="O3" s="542"/>
      <c r="AZ3" s="114"/>
    </row>
    <row r="4" spans="1:52" ht="16.5" thickBot="1" x14ac:dyDescent="0.3">
      <c r="A4" s="2"/>
      <c r="B4" s="543" t="s">
        <v>177</v>
      </c>
      <c r="C4" s="544"/>
      <c r="D4" s="545">
        <f>IF('Data input'!D6="DD-MM-YYYY"," ",'Data input'!D6)</f>
        <v>43657</v>
      </c>
      <c r="E4" s="546"/>
      <c r="F4" s="546"/>
      <c r="G4" s="546"/>
      <c r="H4" s="546"/>
      <c r="I4" s="546"/>
      <c r="J4" s="546"/>
      <c r="K4" s="546"/>
      <c r="L4" s="546"/>
      <c r="M4" s="546"/>
      <c r="N4" s="546"/>
      <c r="O4" s="547"/>
      <c r="AZ4" s="114"/>
    </row>
    <row r="5" spans="1:52" ht="16.5" thickBot="1" x14ac:dyDescent="0.3">
      <c r="A5" s="2"/>
      <c r="B5" s="182" t="s">
        <v>246</v>
      </c>
      <c r="C5" s="209"/>
      <c r="D5" s="183" t="s">
        <v>247</v>
      </c>
      <c r="E5" s="210"/>
      <c r="F5" s="210"/>
      <c r="G5" s="210"/>
      <c r="H5" s="210"/>
      <c r="I5" s="210"/>
      <c r="J5" s="210"/>
      <c r="K5" s="210"/>
      <c r="L5" s="210"/>
      <c r="M5" s="210"/>
      <c r="N5" s="210"/>
      <c r="O5" s="211"/>
      <c r="AZ5" s="114"/>
    </row>
    <row r="6" spans="1:52" x14ac:dyDescent="0.25">
      <c r="A6" s="2"/>
      <c r="B6" s="553" t="s">
        <v>18</v>
      </c>
      <c r="C6" s="554"/>
      <c r="D6" s="557" t="str">
        <f>IF('Data input'!D7="Please select"," ",'Data input'!D7)</f>
        <v>Buildings</v>
      </c>
      <c r="E6" s="558"/>
      <c r="F6" s="558"/>
      <c r="G6" s="558"/>
      <c r="H6" s="558"/>
      <c r="I6" s="558"/>
      <c r="J6" s="558"/>
      <c r="K6" s="558"/>
      <c r="L6" s="558"/>
      <c r="M6" s="558"/>
      <c r="N6" s="558"/>
      <c r="O6" s="559"/>
      <c r="AZ6" s="114"/>
    </row>
    <row r="7" spans="1:52" ht="16.5" thickBot="1" x14ac:dyDescent="0.3">
      <c r="A7" s="2"/>
      <c r="B7" s="555"/>
      <c r="C7" s="556"/>
      <c r="D7" s="548" t="str">
        <f>IF('Data input'!D8="Other (specify here)"," ",'Data input'!D8)</f>
        <v xml:space="preserve"> </v>
      </c>
      <c r="E7" s="549"/>
      <c r="F7" s="549"/>
      <c r="G7" s="549"/>
      <c r="H7" s="549"/>
      <c r="I7" s="549"/>
      <c r="J7" s="549"/>
      <c r="K7" s="549"/>
      <c r="L7" s="549"/>
      <c r="M7" s="549"/>
      <c r="N7" s="549"/>
      <c r="O7" s="550"/>
      <c r="AZ7" s="114"/>
    </row>
    <row r="8" spans="1:52" ht="16.5" thickBot="1" x14ac:dyDescent="0.3">
      <c r="A8" s="2"/>
      <c r="B8" s="551" t="s">
        <v>22</v>
      </c>
      <c r="C8" s="552"/>
      <c r="D8" s="548" t="str">
        <f>IF('Data input'!D9="Please select"," ",'Data input'!D9)</f>
        <v>Non-ETS</v>
      </c>
      <c r="E8" s="549"/>
      <c r="F8" s="549"/>
      <c r="G8" s="549"/>
      <c r="H8" s="549"/>
      <c r="I8" s="549"/>
      <c r="J8" s="549"/>
      <c r="K8" s="549"/>
      <c r="L8" s="549"/>
      <c r="M8" s="549"/>
      <c r="N8" s="549"/>
      <c r="O8" s="550"/>
      <c r="AZ8" s="114"/>
    </row>
    <row r="9" spans="1:52" ht="16.5" thickBot="1" x14ac:dyDescent="0.3">
      <c r="A9" s="2"/>
      <c r="B9" s="551" t="s">
        <v>24</v>
      </c>
      <c r="C9" s="552"/>
      <c r="D9" s="548" t="str">
        <f>IF('Data input'!D10="Please select"," ",'Data input'!D10)</f>
        <v>Renewable</v>
      </c>
      <c r="E9" s="549"/>
      <c r="F9" s="549"/>
      <c r="G9" s="549"/>
      <c r="H9" s="549"/>
      <c r="I9" s="549"/>
      <c r="J9" s="549"/>
      <c r="K9" s="549"/>
      <c r="L9" s="549"/>
      <c r="M9" s="549"/>
      <c r="N9" s="549"/>
      <c r="O9" s="550"/>
      <c r="U9" s="6"/>
      <c r="AZ9" s="114"/>
    </row>
    <row r="10" spans="1:52" ht="409.5" x14ac:dyDescent="0.25">
      <c r="A10" s="8"/>
      <c r="B10" s="425" t="s">
        <v>27</v>
      </c>
      <c r="C10" s="426"/>
      <c r="D10" s="503" t="str">
        <f>IF('Data input'!D11="Specify here"," ",'Data input'!D11)</f>
        <v>Solar photovoltaic (PV) systems convert solar irradiation into electricity. Various types of solar conversion technology types are currently on the market, each differing in terms of costs and efficiency. Examples of such variants comprise crystalline and multi-crystalline silicon PV (mainstream technology), as well as thin film PV (less common technology). This factsheet for solar PV focuses on mainstream technology. 
The solar modules generate direct current (DC). The DC might be used for off-grid applications, combined with an electricity storage system (a battery), however these systems will not be addressed in this factsheet: off-grid systems are considered niche markets where different pricing mechanisms occur. The major contribution for the Netherlands is expected to be in grid-connected systems. In these, DC from the modules is converted to alternating current (AC) by an inverter. 
A PV mounting structure allows to fix the panels in the right position: usually a fixed tilt angle and a fixed orientation, although sun-tracking systems are also possible (but in the Netherlands currently more expensive in terms of electricity generation costs). There are three main spatial layouts: firstly a south-facing system, tilted at 30 to 40 degrees, for high energy generation during the year, characterised by high power peaks (at noon) during summer. Secondly, systems may be oriented towards both east and west at a smaller tilt. Advantages of these systems are that more peak capacity can be installed on the available surface (higher kWp/m2) and that the power peak during summer is smaller, with a more balanced power generation during the day as a result. For the Netherlands, these two layout variants are the most common, and both can be realised on rooftops and in field installations. Solar tracked systems comprise a third system type, which maximise electrity generation by actively adjusting the inclination angle and orientation. This type of system may be applied in solar fields, at a higher investment cost and more operational expenses, plus more land use due to the wider spatial requirements. 
Other variants of solar PV applications exist as well, such as floating PV or facade PV, integrated in buildings. These types generally are more expensive, although cost reductions are certainly to be expected. The photovoltaic module is an important component determining the total system cost, but as module costs have been decreasing rapidly over time its relative importance in system costs is reducing, and other components are getting more weight. Examples of other components are inverter costs, construction material and installation labour. This latter component is an important factor, which can be reduced by increasing the project scale and by moving from rooftop to ground based installations. 
To estimate PV potentials, multiple methods exist, from bottom-up to top-down approaches. Bottom line however is that a large potential is existing, and possibly that system balancing constraints are more limiting than physical space. 
In the technology factsheets, five solar PV system types will be addressed: household rooftop systems (typically 2-10 kWp, on sloped roofs or on flat roofs), large rooftop systems (reference size 250 kWp, generally flat roofs), multi-MW rooftop systems (reference size 5 MWp, flat roofs) and multi-MW solar PV fields (reference size 10 MWp, ground-based). Also, floating PV is addressed indicatively. Note that for all layouts two orientations are defined: South and East/West. The difference lies in the respective value of the full-load hours and expenses for surface rents.
In this factsheet, data is presented for a typical 5 MWp system (approximately 19,000 modules), on a South-facing rooftop with a fixed tilt, inclined.</v>
      </c>
      <c r="E10" s="504"/>
      <c r="F10" s="504"/>
      <c r="G10" s="504"/>
      <c r="H10" s="504"/>
      <c r="I10" s="504"/>
      <c r="J10" s="504"/>
      <c r="K10" s="504"/>
      <c r="L10" s="504"/>
      <c r="M10" s="504"/>
      <c r="N10" s="504"/>
      <c r="O10" s="505"/>
      <c r="AZ10" s="114" t="str">
        <f>D10</f>
        <v>Solar photovoltaic (PV) systems convert solar irradiation into electricity. Various types of solar conversion technology types are currently on the market, each differing in terms of costs and efficiency. Examples of such variants comprise crystalline and multi-crystalline silicon PV (mainstream technology), as well as thin film PV (less common technology). This factsheet for solar PV focuses on mainstream technology. 
The solar modules generate direct current (DC). The DC might be used for off-grid applications, combined with an electricity storage system (a battery), however these systems will not be addressed in this factsheet: off-grid systems are considered niche markets where different pricing mechanisms occur. The major contribution for the Netherlands is expected to be in grid-connected systems. In these, DC from the modules is converted to alternating current (AC) by an inverter. 
A PV mounting structure allows to fix the panels in the right position: usually a fixed tilt angle and a fixed orientation, although sun-tracking systems are also possible (but in the Netherlands currently more expensive in terms of electricity generation costs). There are three main spatial layouts: firstly a south-facing system, tilted at 30 to 40 degrees, for high energy generation during the year, characterised by high power peaks (at noon) during summer. Secondly, systems may be oriented towards both east and west at a smaller tilt. Advantages of these systems are that more peak capacity can be installed on the available surface (higher kWp/m2) and that the power peak during summer is smaller, with a more balanced power generation during the day as a result. For the Netherlands, these two layout variants are the most common, and both can be realised on rooftops and in field installations. Solar tracked systems comprise a third system type, which maximise electrity generation by actively adjusting the inclination angle and orientation. This type of system may be applied in solar fields, at a higher investment cost and more operational expenses, plus more land use due to the wider spatial requirements. 
Other variants of solar PV applications exist as well, such as floating PV or facade PV, integrated in buildings. These types generally are more expensive, although cost reductions are certainly to be expected. The photovoltaic module is an important component determining the total system cost, but as module costs have been decreasing rapidly over time its relative importance in system costs is reducing, and other components are getting more weight. Examples of other components are inverter costs, construction material and installation labour. This latter component is an important factor, which can be reduced by increasing the project scale and by moving from rooftop to ground based installations. 
To estimate PV potentials, multiple methods exist, from bottom-up to top-down approaches. Bottom line however is that a large potential is existing, and possibly that system balancing constraints are more limiting than physical space. 
In the technology factsheets, five solar PV system types will be addressed: household rooftop systems (typically 2-10 kWp, on sloped roofs or on flat roofs), large rooftop systems (reference size 250 kWp, generally flat roofs), multi-MW rooftop systems (reference size 5 MWp, flat roofs) and multi-MW solar PV fields (reference size 10 MWp, ground-based). Also, floating PV is addressed indicatively. Note that for all layouts two orientations are defined: South and East/West. The difference lies in the respective value of the full-load hours and expenses for surface rents.
In this factsheet, data is presented for a typical 5 MWp system (approximately 19,000 modules), on a South-facing rooftop with a fixed tilt, inclined.</v>
      </c>
    </row>
    <row r="11" spans="1:52" ht="48" customHeight="1" thickBot="1" x14ac:dyDescent="0.3">
      <c r="A11" s="8"/>
      <c r="B11" s="427"/>
      <c r="C11" s="428"/>
      <c r="D11" s="563"/>
      <c r="E11" s="564"/>
      <c r="F11" s="564"/>
      <c r="G11" s="564"/>
      <c r="H11" s="564"/>
      <c r="I11" s="564"/>
      <c r="J11" s="564"/>
      <c r="K11" s="564"/>
      <c r="L11" s="564"/>
      <c r="M11" s="564"/>
      <c r="N11" s="564"/>
      <c r="O11" s="565"/>
      <c r="AZ11" s="114"/>
    </row>
    <row r="12" spans="1:52" ht="16.5" thickBot="1" x14ac:dyDescent="0.3">
      <c r="A12" s="2"/>
      <c r="B12" s="182" t="s">
        <v>183</v>
      </c>
      <c r="C12" s="212"/>
      <c r="D12" s="560" t="str">
        <f>IF('Data input'!D12="Select the observed or expected TRL level in 2020"," ",'Data input'!D12)</f>
        <v>TRL 9</v>
      </c>
      <c r="E12" s="561"/>
      <c r="F12" s="561"/>
      <c r="G12" s="561"/>
      <c r="H12" s="561"/>
      <c r="I12" s="561"/>
      <c r="J12" s="561"/>
      <c r="K12" s="561"/>
      <c r="L12" s="561"/>
      <c r="M12" s="561"/>
      <c r="N12" s="561"/>
      <c r="O12" s="562"/>
      <c r="AZ12" s="114"/>
    </row>
    <row r="13" spans="1:52" ht="16.5" thickBot="1" x14ac:dyDescent="0.3">
      <c r="A13" s="2"/>
      <c r="B13" s="213"/>
      <c r="C13" s="214"/>
      <c r="D13" s="503" t="str">
        <f>IF('Data input'!D13="Explain here (add reference sources)"," ",'Data input'!D13)</f>
        <v>Many systems are operational worldwide. See CBS (2018) for the Dutch realisations.</v>
      </c>
      <c r="E13" s="504"/>
      <c r="F13" s="504"/>
      <c r="G13" s="504"/>
      <c r="H13" s="504"/>
      <c r="I13" s="504"/>
      <c r="J13" s="504"/>
      <c r="K13" s="504"/>
      <c r="L13" s="504"/>
      <c r="M13" s="504"/>
      <c r="N13" s="504"/>
      <c r="O13" s="505"/>
      <c r="AZ13" s="114" t="str">
        <f>D13</f>
        <v>Many systems are operational worldwide. See CBS (2018) for the Dutch realisations.</v>
      </c>
    </row>
    <row r="14" spans="1:52" ht="16.5" thickBot="1" x14ac:dyDescent="0.3">
      <c r="A14" s="2"/>
      <c r="B14" s="566" t="s">
        <v>52</v>
      </c>
      <c r="C14" s="567"/>
      <c r="D14" s="567"/>
      <c r="E14" s="567"/>
      <c r="F14" s="567"/>
      <c r="G14" s="567"/>
      <c r="H14" s="567"/>
      <c r="I14" s="567"/>
      <c r="J14" s="567"/>
      <c r="K14" s="567"/>
      <c r="L14" s="567"/>
      <c r="M14" s="567"/>
      <c r="N14" s="567"/>
      <c r="O14" s="568"/>
      <c r="AZ14" s="114"/>
    </row>
    <row r="15" spans="1:52" x14ac:dyDescent="0.25">
      <c r="A15" s="2"/>
      <c r="B15" s="553"/>
      <c r="C15" s="554"/>
      <c r="D15" s="574" t="s">
        <v>186</v>
      </c>
      <c r="E15" s="575"/>
      <c r="F15" s="576"/>
      <c r="G15" s="572" t="s">
        <v>248</v>
      </c>
      <c r="H15" s="448"/>
      <c r="I15" s="448"/>
      <c r="J15" s="448"/>
      <c r="K15" s="448"/>
      <c r="L15" s="448"/>
      <c r="M15" s="448"/>
      <c r="N15" s="573"/>
      <c r="O15" s="473"/>
      <c r="AZ15" s="114"/>
    </row>
    <row r="16" spans="1:52" x14ac:dyDescent="0.25">
      <c r="A16" s="2"/>
      <c r="B16" s="538" t="s">
        <v>57</v>
      </c>
      <c r="C16" s="539"/>
      <c r="D16" s="524" t="str">
        <f>IF('Data input'!D18="Select Functional Unit above","",'Data input'!D18)</f>
        <v>kW</v>
      </c>
      <c r="E16" s="312"/>
      <c r="F16" s="525"/>
      <c r="G16" s="534">
        <f>'Data input'!G18</f>
        <v>5000</v>
      </c>
      <c r="H16" s="535"/>
      <c r="I16" s="535"/>
      <c r="J16" s="535"/>
      <c r="K16" s="535"/>
      <c r="L16" s="535"/>
      <c r="M16" s="535"/>
      <c r="N16" s="536"/>
      <c r="O16" s="537"/>
      <c r="AZ16" s="114"/>
    </row>
    <row r="17" spans="1:52" ht="16.5" thickBot="1" x14ac:dyDescent="0.3">
      <c r="A17" s="2"/>
      <c r="B17" s="93"/>
      <c r="C17" s="215"/>
      <c r="D17" s="526"/>
      <c r="E17" s="476"/>
      <c r="F17" s="527"/>
      <c r="G17" s="485" t="s">
        <v>249</v>
      </c>
      <c r="H17" s="486"/>
      <c r="I17" s="486"/>
      <c r="J17" s="487" t="s">
        <v>250</v>
      </c>
      <c r="K17" s="487"/>
      <c r="L17" s="487"/>
      <c r="M17" s="486" t="s">
        <v>251</v>
      </c>
      <c r="N17" s="488"/>
      <c r="O17" s="489"/>
      <c r="AZ17" s="114"/>
    </row>
    <row r="18" spans="1:52" x14ac:dyDescent="0.25">
      <c r="A18" s="2"/>
      <c r="B18" s="94"/>
      <c r="C18" s="216"/>
      <c r="D18" s="520" t="str">
        <f>IF('Data input'!D21="Please select the region","",'Data input'!D21)</f>
        <v>NL</v>
      </c>
      <c r="E18" s="521"/>
      <c r="F18" s="490" t="str">
        <f>IF('Data input'!F21="Please select","",'Data input'!F21)</f>
        <v>GW</v>
      </c>
      <c r="G18" s="480" t="s">
        <v>252</v>
      </c>
      <c r="H18" s="448"/>
      <c r="I18" s="448"/>
      <c r="J18" s="448">
        <v>2030</v>
      </c>
      <c r="K18" s="448"/>
      <c r="L18" s="448"/>
      <c r="M18" s="448">
        <v>2050</v>
      </c>
      <c r="N18" s="448"/>
      <c r="O18" s="473"/>
      <c r="AZ18" s="114"/>
    </row>
    <row r="19" spans="1:52" x14ac:dyDescent="0.25">
      <c r="A19" s="2"/>
      <c r="B19" s="94" t="s">
        <v>62</v>
      </c>
      <c r="C19" s="217"/>
      <c r="D19" s="522"/>
      <c r="E19" s="523"/>
      <c r="F19" s="491"/>
      <c r="G19" s="514">
        <f>'Data input'!G22</f>
        <v>1</v>
      </c>
      <c r="H19" s="515"/>
      <c r="I19" s="515"/>
      <c r="J19" s="515">
        <f>'Data input'!L22</f>
        <v>3</v>
      </c>
      <c r="K19" s="515"/>
      <c r="L19" s="515"/>
      <c r="M19" s="515">
        <f>'Data input'!Q22</f>
        <v>10</v>
      </c>
      <c r="N19" s="515"/>
      <c r="O19" s="516"/>
      <c r="AZ19" s="114"/>
    </row>
    <row r="20" spans="1:52" ht="16.5" thickBot="1" x14ac:dyDescent="0.3">
      <c r="A20" s="2"/>
      <c r="B20" s="93"/>
      <c r="C20" s="215"/>
      <c r="D20" s="522"/>
      <c r="E20" s="523"/>
      <c r="F20" s="491"/>
      <c r="G20" s="184" t="s">
        <v>249</v>
      </c>
      <c r="H20" s="218" t="s">
        <v>253</v>
      </c>
      <c r="I20" s="185" t="s">
        <v>251</v>
      </c>
      <c r="J20" s="185" t="s">
        <v>249</v>
      </c>
      <c r="K20" s="218" t="s">
        <v>253</v>
      </c>
      <c r="L20" s="185" t="s">
        <v>251</v>
      </c>
      <c r="M20" s="185" t="s">
        <v>249</v>
      </c>
      <c r="N20" s="218" t="s">
        <v>253</v>
      </c>
      <c r="O20" s="186" t="s">
        <v>251</v>
      </c>
      <c r="AZ20" s="114"/>
    </row>
    <row r="21" spans="1:52" x14ac:dyDescent="0.25">
      <c r="A21" s="2"/>
      <c r="B21" s="94" t="s">
        <v>199</v>
      </c>
      <c r="C21" s="217"/>
      <c r="D21" s="419" t="str">
        <f>IF('Data input'!D24="Specify here the market","",'Data input'!D24)</f>
        <v/>
      </c>
      <c r="E21" s="420"/>
      <c r="F21" s="423" t="s">
        <v>201</v>
      </c>
      <c r="G21" s="517">
        <f>'Data input'!G24</f>
        <v>0</v>
      </c>
      <c r="H21" s="518"/>
      <c r="I21" s="518"/>
      <c r="J21" s="518">
        <f>'Data input'!L24</f>
        <v>0</v>
      </c>
      <c r="K21" s="518"/>
      <c r="L21" s="518"/>
      <c r="M21" s="518">
        <f>'Data input'!Q24</f>
        <v>0</v>
      </c>
      <c r="N21" s="518"/>
      <c r="O21" s="519"/>
      <c r="AZ21" s="114"/>
    </row>
    <row r="22" spans="1:52" ht="16.5" thickBot="1" x14ac:dyDescent="0.3">
      <c r="A22" s="2"/>
      <c r="B22" s="94"/>
      <c r="C22" s="217"/>
      <c r="D22" s="421"/>
      <c r="E22" s="422"/>
      <c r="F22" s="424"/>
      <c r="G22" s="219" t="str">
        <f>IF('Data input'!G24="","Min",MIN('Data input'!G24:K24))</f>
        <v>Min</v>
      </c>
      <c r="H22" s="220" t="s">
        <v>253</v>
      </c>
      <c r="I22" s="221" t="str">
        <f>IF('Data input'!G24="","Max",MAX('Data input'!G24:K24))</f>
        <v>Max</v>
      </c>
      <c r="J22" s="220" t="str">
        <f>IF('Data input'!L24="","Min",MIN('Data input'!L24:P24))</f>
        <v>Min</v>
      </c>
      <c r="K22" s="220" t="s">
        <v>253</v>
      </c>
      <c r="L22" s="221" t="str">
        <f>IF('Data input'!L24="","Max",MAX('Data input'!L24:P24))</f>
        <v>Max</v>
      </c>
      <c r="M22" s="220" t="str">
        <f>IF('Data input'!Q24="","Min",MIN('Data input'!Q24:U24))</f>
        <v>Min</v>
      </c>
      <c r="N22" s="220" t="s">
        <v>253</v>
      </c>
      <c r="O22" s="222" t="str">
        <f>IF('Data input'!Q24="","Max",MAX('Data input'!Q24:U24))</f>
        <v>Max</v>
      </c>
      <c r="AZ22" s="114"/>
    </row>
    <row r="23" spans="1:52" ht="16.5" thickBot="1" x14ac:dyDescent="0.3">
      <c r="A23" s="2"/>
      <c r="B23" s="433" t="s">
        <v>254</v>
      </c>
      <c r="C23" s="434"/>
      <c r="D23" s="531">
        <f>IF('Data input'!D26="Specify here (if not specified, value will be 1)",1,'Data input'!D26)</f>
        <v>1</v>
      </c>
      <c r="E23" s="532"/>
      <c r="F23" s="532"/>
      <c r="G23" s="532"/>
      <c r="H23" s="532"/>
      <c r="I23" s="532"/>
      <c r="J23" s="532"/>
      <c r="K23" s="532"/>
      <c r="L23" s="532"/>
      <c r="M23" s="532"/>
      <c r="N23" s="532"/>
      <c r="O23" s="533"/>
      <c r="AZ23" s="114"/>
    </row>
    <row r="24" spans="1:52" ht="16.5" thickBot="1" x14ac:dyDescent="0.3">
      <c r="A24" s="2"/>
      <c r="B24" s="433" t="s">
        <v>74</v>
      </c>
      <c r="C24" s="434"/>
      <c r="D24" s="495">
        <f>IF('Data input'!D27="Specify here"," ",'Data input'!D27)</f>
        <v>920</v>
      </c>
      <c r="E24" s="496"/>
      <c r="F24" s="496"/>
      <c r="G24" s="496"/>
      <c r="H24" s="496"/>
      <c r="I24" s="496"/>
      <c r="J24" s="496"/>
      <c r="K24" s="496"/>
      <c r="L24" s="496"/>
      <c r="M24" s="496"/>
      <c r="N24" s="496"/>
      <c r="O24" s="497"/>
      <c r="AZ24" s="114"/>
    </row>
    <row r="25" spans="1:52" ht="16.5" thickBot="1" x14ac:dyDescent="0.3">
      <c r="A25" s="2"/>
      <c r="B25" s="433" t="s">
        <v>76</v>
      </c>
      <c r="C25" s="434"/>
      <c r="D25" s="119" t="str">
        <f>IF('Data input'!D28="Please select"," ",'Data input'!D28)</f>
        <v>PJ/year</v>
      </c>
      <c r="E25" s="509" t="str">
        <f>IF('Data input'!D29="Specify here"," ",'Data input'!D29)</f>
        <v xml:space="preserve"> </v>
      </c>
      <c r="F25" s="510"/>
      <c r="G25" s="510"/>
      <c r="H25" s="510"/>
      <c r="I25" s="510"/>
      <c r="J25" s="510"/>
      <c r="K25" s="510"/>
      <c r="L25" s="510"/>
      <c r="M25" s="510"/>
      <c r="N25" s="510"/>
      <c r="O25" s="511"/>
      <c r="AZ25" s="114"/>
    </row>
    <row r="26" spans="1:52" ht="16.5" thickBot="1" x14ac:dyDescent="0.3">
      <c r="A26" s="2"/>
      <c r="B26" s="433" t="s">
        <v>84</v>
      </c>
      <c r="C26" s="434"/>
      <c r="D26" s="492">
        <f>IF('Data input'!D30="Specify here"," ",'Data input'!D30)</f>
        <v>25</v>
      </c>
      <c r="E26" s="493"/>
      <c r="F26" s="493"/>
      <c r="G26" s="493"/>
      <c r="H26" s="493"/>
      <c r="I26" s="493"/>
      <c r="J26" s="493"/>
      <c r="K26" s="493"/>
      <c r="L26" s="493"/>
      <c r="M26" s="493"/>
      <c r="N26" s="493"/>
      <c r="O26" s="494"/>
      <c r="AZ26" s="114"/>
    </row>
    <row r="27" spans="1:52" ht="16.5" thickBot="1" x14ac:dyDescent="0.3">
      <c r="A27" s="2"/>
      <c r="B27" s="433" t="s">
        <v>86</v>
      </c>
      <c r="C27" s="434"/>
      <c r="D27" s="498" t="str">
        <f>IF('Data input'!D31="Specify here"," ",'Data input'!D31)</f>
        <v xml:space="preserve"> </v>
      </c>
      <c r="E27" s="499"/>
      <c r="F27" s="499"/>
      <c r="G27" s="499"/>
      <c r="H27" s="499"/>
      <c r="I27" s="499"/>
      <c r="J27" s="499"/>
      <c r="K27" s="499"/>
      <c r="L27" s="499"/>
      <c r="M27" s="499"/>
      <c r="N27" s="499"/>
      <c r="O27" s="500"/>
      <c r="AZ27" s="114"/>
    </row>
    <row r="28" spans="1:52" ht="16.5" thickBot="1" x14ac:dyDescent="0.3">
      <c r="A28" s="2"/>
      <c r="B28" s="433" t="s">
        <v>88</v>
      </c>
      <c r="C28" s="434"/>
      <c r="D28" s="506" t="str">
        <f>IF('Data input'!D32="Please select"," ",'Data input'!D32)</f>
        <v xml:space="preserve"> </v>
      </c>
      <c r="E28" s="507"/>
      <c r="F28" s="507"/>
      <c r="G28" s="507"/>
      <c r="H28" s="507"/>
      <c r="I28" s="507"/>
      <c r="J28" s="507"/>
      <c r="K28" s="507"/>
      <c r="L28" s="507"/>
      <c r="M28" s="507"/>
      <c r="N28" s="507"/>
      <c r="O28" s="508"/>
      <c r="AZ28" s="114"/>
    </row>
    <row r="29" spans="1:52" ht="201" customHeight="1" thickBot="1" x14ac:dyDescent="0.3">
      <c r="A29" s="2"/>
      <c r="B29" s="501" t="s">
        <v>205</v>
      </c>
      <c r="C29" s="502"/>
      <c r="D29" s="503" t="str">
        <f>IF('Data input'!D33="Explain here (e.g. other technical dimensions, region covered for potential such as NL or EU)"," ",'Data input'!D33)</f>
        <v>The reference system assumed here is a 5 MWp system on a flat roof in utility buildings. 
The total PV installations for 2020 are assumed to represent around 8 GWp, based on the latest CBS figures (4,3 GWp for 2018), with a continuing growth up to 2020. Note that all potential data have been broken down into capacity range sectors, and that this potential may be filled either with South oriented systems, or with East/West oriented systems. For 2030, the assumed cumulative PV capacity potential in the Netherlands is 30 GWp, based on PBL (2019) (22 GWp on buildings) and Gasunie 2018 (8 GWp ground based potential). For the period up to 2050, the building sector may cover 66 GWp (50 TWh) of which 41 GWp in the residential sector and 25 GWp in the utility sector. Ground-based potential may amount to 34 GW (Gasunie 2018). Solar PV technology has been coming down rapidly in investment costs and electricity generation cost over the past years, and it is expected that it will continue to reduce further. 
The full-load hours are averaged over the lifetime. An annual efficiency degeneration of 0.64% makes that full-load hours for South-oriented systems decrease from 990 kWh/kWp in year 1 to 849 kWh/kWp in year 25 (rounded average: 920 kWh/kWp). For East/West-oriented systems, the reduction goes from 890 kWh/kWp in year 1 to 763 kWh/kWp in year 25 (rounded average: 820 kWh/kWp). The conversion efficiency improvement that is expected results in smaller modules for similar capacity ranges, which is one of the drivers for cost reduction.</v>
      </c>
      <c r="E29" s="504"/>
      <c r="F29" s="504"/>
      <c r="G29" s="504"/>
      <c r="H29" s="504"/>
      <c r="I29" s="504"/>
      <c r="J29" s="504"/>
      <c r="K29" s="504"/>
      <c r="L29" s="504"/>
      <c r="M29" s="504"/>
      <c r="N29" s="504"/>
      <c r="O29" s="505"/>
      <c r="AZ29" s="114" t="str">
        <f>D29</f>
        <v>The reference system assumed here is a 5 MWp system on a flat roof in utility buildings. 
The total PV installations for 2020 are assumed to represent around 8 GWp, based on the latest CBS figures (4,3 GWp for 2018), with a continuing growth up to 2020. Note that all potential data have been broken down into capacity range sectors, and that this potential may be filled either with South oriented systems, or with East/West oriented systems. For 2030, the assumed cumulative PV capacity potential in the Netherlands is 30 GWp, based on PBL (2019) (22 GWp on buildings) and Gasunie 2018 (8 GWp ground based potential). For the period up to 2050, the building sector may cover 66 GWp (50 TWh) of which 41 GWp in the residential sector and 25 GWp in the utility sector. Ground-based potential may amount to 34 GW (Gasunie 2018). Solar PV technology has been coming down rapidly in investment costs and electricity generation cost over the past years, and it is expected that it will continue to reduce further. 
The full-load hours are averaged over the lifetime. An annual efficiency degeneration of 0.64% makes that full-load hours for South-oriented systems decrease from 990 kWh/kWp in year 1 to 849 kWh/kWp in year 25 (rounded average: 920 kWh/kWp). For East/West-oriented systems, the reduction goes from 890 kWh/kWp in year 1 to 763 kWh/kWp in year 25 (rounded average: 820 kWh/kWp). The conversion efficiency improvement that is expected results in smaller modules for similar capacity ranges, which is one of the drivers for cost reduction.</v>
      </c>
    </row>
    <row r="30" spans="1:52" ht="16.5" thickBot="1" x14ac:dyDescent="0.3">
      <c r="A30" s="2"/>
      <c r="B30" s="528" t="s">
        <v>91</v>
      </c>
      <c r="C30" s="529"/>
      <c r="D30" s="529"/>
      <c r="E30" s="529"/>
      <c r="F30" s="529"/>
      <c r="G30" s="529"/>
      <c r="H30" s="529"/>
      <c r="I30" s="529"/>
      <c r="J30" s="529"/>
      <c r="K30" s="529"/>
      <c r="L30" s="529"/>
      <c r="M30" s="529"/>
      <c r="N30" s="529"/>
      <c r="O30" s="530"/>
      <c r="AZ30" s="114"/>
    </row>
    <row r="31" spans="1:52" ht="16.5" thickBot="1" x14ac:dyDescent="0.3">
      <c r="A31" s="2"/>
      <c r="B31" s="512" t="s">
        <v>92</v>
      </c>
      <c r="C31" s="513"/>
      <c r="D31" s="481">
        <v>2015</v>
      </c>
      <c r="E31" s="482"/>
      <c r="F31" s="482"/>
      <c r="G31" s="482"/>
      <c r="H31" s="482"/>
      <c r="I31" s="482"/>
      <c r="J31" s="482"/>
      <c r="K31" s="482"/>
      <c r="L31" s="482"/>
      <c r="M31" s="482"/>
      <c r="N31" s="482"/>
      <c r="O31" s="483"/>
      <c r="AZ31" s="114"/>
    </row>
    <row r="32" spans="1:52" x14ac:dyDescent="0.25">
      <c r="A32" s="2"/>
      <c r="B32" s="452" t="s">
        <v>95</v>
      </c>
      <c r="C32" s="453"/>
      <c r="D32" s="478" t="s">
        <v>255</v>
      </c>
      <c r="E32" s="484"/>
      <c r="F32" s="484"/>
      <c r="G32" s="480" t="s">
        <v>252</v>
      </c>
      <c r="H32" s="448"/>
      <c r="I32" s="448"/>
      <c r="J32" s="448">
        <v>2030</v>
      </c>
      <c r="K32" s="448"/>
      <c r="L32" s="448"/>
      <c r="M32" s="448">
        <v>2050</v>
      </c>
      <c r="N32" s="448"/>
      <c r="O32" s="473"/>
      <c r="AZ32" s="114"/>
    </row>
    <row r="33" spans="1:52" x14ac:dyDescent="0.25">
      <c r="A33" s="2"/>
      <c r="B33" s="454"/>
      <c r="C33" s="455"/>
      <c r="D33" s="465" t="s">
        <v>688</v>
      </c>
      <c r="E33" s="312" t="str">
        <f>IF('Data input'!D15="Please select"," ",'Data input'!D15)</f>
        <v>kW</v>
      </c>
      <c r="F33" s="312"/>
      <c r="G33" s="450">
        <f>'Data input'!G37</f>
        <v>654</v>
      </c>
      <c r="H33" s="451"/>
      <c r="I33" s="451"/>
      <c r="J33" s="451">
        <f>'Data input'!L37</f>
        <v>516</v>
      </c>
      <c r="K33" s="451"/>
      <c r="L33" s="451"/>
      <c r="M33" s="451">
        <f>'Data input'!Q37</f>
        <v>346</v>
      </c>
      <c r="N33" s="451"/>
      <c r="O33" s="472"/>
      <c r="AZ33" s="114"/>
    </row>
    <row r="34" spans="1:52" ht="16.5" thickBot="1" x14ac:dyDescent="0.3">
      <c r="A34" s="2"/>
      <c r="B34" s="467"/>
      <c r="C34" s="468"/>
      <c r="D34" s="466"/>
      <c r="E34" s="315"/>
      <c r="F34" s="315"/>
      <c r="G34" s="251">
        <f>IF('Data input'!G37="","Min",MIN('Data input'!G37:K37))</f>
        <v>630</v>
      </c>
      <c r="H34" s="252" t="s">
        <v>253</v>
      </c>
      <c r="I34" s="253">
        <f>IF('Data input'!G37="","Max",MAX('Data input'!G37:K37))</f>
        <v>678</v>
      </c>
      <c r="J34" s="254">
        <f>IF('Data input'!L37="","Min",MIN('Data input'!L37:P37))</f>
        <v>460</v>
      </c>
      <c r="K34" s="252" t="s">
        <v>253</v>
      </c>
      <c r="L34" s="253">
        <f>IF('Data input'!L37="","Max",MAX('Data input'!L37:P37))</f>
        <v>572</v>
      </c>
      <c r="M34" s="254">
        <f>IF('Data input'!Q37="","Min",MIN('Data input'!Q37:U37))</f>
        <v>231</v>
      </c>
      <c r="N34" s="252" t="s">
        <v>253</v>
      </c>
      <c r="O34" s="255">
        <f>IF('Data input'!Q37="","Max",MAX('Data input'!Q37:U37))</f>
        <v>460</v>
      </c>
      <c r="AZ34" s="114"/>
    </row>
    <row r="35" spans="1:52" x14ac:dyDescent="0.25">
      <c r="A35" s="2"/>
      <c r="B35" s="425" t="s">
        <v>212</v>
      </c>
      <c r="C35" s="426"/>
      <c r="D35" s="465" t="s">
        <v>688</v>
      </c>
      <c r="E35" s="312" t="str">
        <f>IF('Data input'!D15="Please select"," ",'Data input'!D15)</f>
        <v>kW</v>
      </c>
      <c r="F35" s="312"/>
      <c r="G35" s="450">
        <f>'Data input'!G39</f>
        <v>7</v>
      </c>
      <c r="H35" s="451"/>
      <c r="I35" s="451"/>
      <c r="J35" s="451">
        <f>'Data input'!L39</f>
        <v>7</v>
      </c>
      <c r="K35" s="451"/>
      <c r="L35" s="451"/>
      <c r="M35" s="451">
        <f>'Data input'!Q39</f>
        <v>7</v>
      </c>
      <c r="N35" s="451"/>
      <c r="O35" s="472"/>
      <c r="AZ35" s="114"/>
    </row>
    <row r="36" spans="1:52" ht="16.5" thickBot="1" x14ac:dyDescent="0.3">
      <c r="A36" s="2"/>
      <c r="B36" s="427"/>
      <c r="C36" s="428"/>
      <c r="D36" s="466"/>
      <c r="E36" s="315"/>
      <c r="F36" s="315"/>
      <c r="G36" s="187" t="s">
        <v>249</v>
      </c>
      <c r="H36" s="223" t="s">
        <v>253</v>
      </c>
      <c r="I36" s="188" t="s">
        <v>251</v>
      </c>
      <c r="J36" s="189" t="s">
        <v>249</v>
      </c>
      <c r="K36" s="223" t="s">
        <v>253</v>
      </c>
      <c r="L36" s="188" t="s">
        <v>251</v>
      </c>
      <c r="M36" s="189" t="s">
        <v>249</v>
      </c>
      <c r="N36" s="223" t="s">
        <v>253</v>
      </c>
      <c r="O36" s="190" t="s">
        <v>251</v>
      </c>
      <c r="AZ36" s="114"/>
    </row>
    <row r="37" spans="1:52" x14ac:dyDescent="0.25">
      <c r="A37" s="2"/>
      <c r="B37" s="452" t="s">
        <v>256</v>
      </c>
      <c r="C37" s="453"/>
      <c r="D37" s="465" t="s">
        <v>688</v>
      </c>
      <c r="E37" s="312" t="str">
        <f>IF('Data input'!D15="Please select"," ",'Data input'!D15)</f>
        <v>kW</v>
      </c>
      <c r="F37" s="312"/>
      <c r="G37" s="477">
        <f>'Data input'!G41</f>
        <v>13.1</v>
      </c>
      <c r="H37" s="474"/>
      <c r="I37" s="474"/>
      <c r="J37" s="474">
        <f>'Data input'!L41</f>
        <v>12.6</v>
      </c>
      <c r="K37" s="474"/>
      <c r="L37" s="474"/>
      <c r="M37" s="474">
        <f>'Data input'!Q41</f>
        <v>11.9</v>
      </c>
      <c r="N37" s="474"/>
      <c r="O37" s="475"/>
      <c r="AZ37" s="114"/>
    </row>
    <row r="38" spans="1:52" ht="16.5" thickBot="1" x14ac:dyDescent="0.3">
      <c r="A38" s="2"/>
      <c r="B38" s="467"/>
      <c r="C38" s="468"/>
      <c r="D38" s="466"/>
      <c r="E38" s="315"/>
      <c r="F38" s="315"/>
      <c r="G38" s="187" t="s">
        <v>249</v>
      </c>
      <c r="H38" s="223" t="s">
        <v>253</v>
      </c>
      <c r="I38" s="188" t="s">
        <v>251</v>
      </c>
      <c r="J38" s="189" t="s">
        <v>249</v>
      </c>
      <c r="K38" s="223" t="s">
        <v>253</v>
      </c>
      <c r="L38" s="188" t="s">
        <v>251</v>
      </c>
      <c r="M38" s="189" t="s">
        <v>249</v>
      </c>
      <c r="N38" s="223" t="s">
        <v>253</v>
      </c>
      <c r="O38" s="190" t="s">
        <v>251</v>
      </c>
      <c r="AZ38" s="114"/>
    </row>
    <row r="39" spans="1:52" x14ac:dyDescent="0.25">
      <c r="A39" s="2"/>
      <c r="B39" s="452" t="s">
        <v>257</v>
      </c>
      <c r="C39" s="453"/>
      <c r="D39" s="465" t="s">
        <v>688</v>
      </c>
      <c r="E39" s="312" t="str">
        <f>IF('Data input'!D15="Please select"," ",'Data input'!D15)</f>
        <v>kW</v>
      </c>
      <c r="F39" s="312"/>
      <c r="G39" s="441">
        <f>'Data input'!G43</f>
        <v>0</v>
      </c>
      <c r="H39" s="410"/>
      <c r="I39" s="410"/>
      <c r="J39" s="410">
        <f>'Data input'!L43</f>
        <v>0</v>
      </c>
      <c r="K39" s="410"/>
      <c r="L39" s="410"/>
      <c r="M39" s="410">
        <f>'Data input'!Q43</f>
        <v>0</v>
      </c>
      <c r="N39" s="410"/>
      <c r="O39" s="411"/>
      <c r="AZ39" s="114"/>
    </row>
    <row r="40" spans="1:52" ht="16.5" thickBot="1" x14ac:dyDescent="0.3">
      <c r="A40" s="2"/>
      <c r="B40" s="467"/>
      <c r="C40" s="468"/>
      <c r="D40" s="466"/>
      <c r="E40" s="476"/>
      <c r="F40" s="476"/>
      <c r="G40" s="219" t="str">
        <f>IF('Data input'!G43="","Min",MIN('Data input'!G43:K43))</f>
        <v>Min</v>
      </c>
      <c r="H40" s="224" t="s">
        <v>253</v>
      </c>
      <c r="I40" s="220" t="str">
        <f>IF('Data input'!G43="","Max",MAX('Data input'!G43:K43))</f>
        <v>Max</v>
      </c>
      <c r="J40" s="225" t="str">
        <f>IF('Data input'!L43="","Min",MIN('Data input'!L43:P43))</f>
        <v>Min</v>
      </c>
      <c r="K40" s="224" t="s">
        <v>253</v>
      </c>
      <c r="L40" s="220" t="str">
        <f>IF('Data input'!L43="","Max",MAX('Data input'!L43:P43))</f>
        <v>Max</v>
      </c>
      <c r="M40" s="225" t="str">
        <f>IF('Data input'!Q43="","Min",MIN('Data input'!Q43:U43))</f>
        <v>Min</v>
      </c>
      <c r="N40" s="224" t="s">
        <v>253</v>
      </c>
      <c r="O40" s="222" t="str">
        <f>IF('Data input'!Q43="","Max",MAX('Data input'!Q43:U43))</f>
        <v>Max</v>
      </c>
      <c r="AZ40" s="114"/>
    </row>
    <row r="41" spans="1:52" ht="189.75" thickBot="1" x14ac:dyDescent="0.3">
      <c r="A41" s="2"/>
      <c r="B41" s="543" t="s">
        <v>215</v>
      </c>
      <c r="C41" s="569"/>
      <c r="D41" s="563" t="str">
        <f>IF('Data input'!D45="Explain here (e.g. other costs)"," ",'Data input'!D45)</f>
        <v>The investment costs are taken from public reports (PBL, 2018 and PBL, 2019). These studies aggregate multiple information sources and various checks are performed with market data. The range results from the cost estimates that are defined in seasonal intervals. 
Future costs were estimated by applying the projected cost decrease as reported in FhG-ISE (2015), albeit with a newly calibrated starting point for the year 2020, for which detailed estimates exist from SDE++ (2019). For comparison purposes: the widest investment cost range according to this report is 757-892 €2014/kWp in 2020 to 278-606 €2014/kWp by 2050. The fixed operational costs reported are taken from SDE++ 2020 (2019) and cover the O&amp;M, metering, insurance and taxes (time-dependent, correlated to investment cost development), connection costs. 
Under 'Other costs' some of the  cost components missing in the SDE+ were added: costs for societal support, asset management and land or roof lease (these three cost components are not considered in SDE+, which is a result of the chosen system boundaries of the scheme). 
All information is based on publicly available data.</v>
      </c>
      <c r="E41" s="564"/>
      <c r="F41" s="564"/>
      <c r="G41" s="564"/>
      <c r="H41" s="564"/>
      <c r="I41" s="564"/>
      <c r="J41" s="564"/>
      <c r="K41" s="564"/>
      <c r="L41" s="564"/>
      <c r="M41" s="564"/>
      <c r="N41" s="564"/>
      <c r="O41" s="565"/>
      <c r="AZ41" s="114" t="str">
        <f>D41</f>
        <v>The investment costs are taken from public reports (PBL, 2018 and PBL, 2019). These studies aggregate multiple information sources and various checks are performed with market data. The range results from the cost estimates that are defined in seasonal intervals. 
Future costs were estimated by applying the projected cost decrease as reported in FhG-ISE (2015), albeit with a newly calibrated starting point for the year 2020, for which detailed estimates exist from SDE++ (2019). For comparison purposes: the widest investment cost range according to this report is 757-892 €2014/kWp in 2020 to 278-606 €2014/kWp by 2050. The fixed operational costs reported are taken from SDE++ 2020 (2019) and cover the O&amp;M, metering, insurance and taxes (time-dependent, correlated to investment cost development), connection costs. 
Under 'Other costs' some of the  cost components missing in the SDE+ were added: costs for societal support, asset management and land or roof lease (these three cost components are not considered in SDE+, which is a result of the chosen system boundaries of the scheme). 
All information is based on publicly available data.</v>
      </c>
    </row>
    <row r="42" spans="1:52" ht="16.5" thickBot="1" x14ac:dyDescent="0.3">
      <c r="A42" s="2"/>
      <c r="B42" s="528" t="s">
        <v>109</v>
      </c>
      <c r="C42" s="529"/>
      <c r="D42" s="567"/>
      <c r="E42" s="567"/>
      <c r="F42" s="567"/>
      <c r="G42" s="567"/>
      <c r="H42" s="567"/>
      <c r="I42" s="567"/>
      <c r="J42" s="567"/>
      <c r="K42" s="567"/>
      <c r="L42" s="567"/>
      <c r="M42" s="567"/>
      <c r="N42" s="567"/>
      <c r="O42" s="568"/>
      <c r="AZ42" s="114"/>
    </row>
    <row r="43" spans="1:52" x14ac:dyDescent="0.25">
      <c r="A43" s="2"/>
      <c r="B43" s="452" t="s">
        <v>219</v>
      </c>
      <c r="C43" s="453"/>
      <c r="D43" s="478" t="s">
        <v>218</v>
      </c>
      <c r="E43" s="479"/>
      <c r="F43" s="201" t="s">
        <v>195</v>
      </c>
      <c r="G43" s="480" t="s">
        <v>252</v>
      </c>
      <c r="H43" s="448"/>
      <c r="I43" s="448"/>
      <c r="J43" s="448">
        <v>2030</v>
      </c>
      <c r="K43" s="448"/>
      <c r="L43" s="448"/>
      <c r="M43" s="448">
        <v>2050</v>
      </c>
      <c r="N43" s="448"/>
      <c r="O43" s="473"/>
      <c r="AZ43" s="114"/>
    </row>
    <row r="44" spans="1:52" x14ac:dyDescent="0.25">
      <c r="A44" s="2"/>
      <c r="B44" s="454"/>
      <c r="C44" s="455"/>
      <c r="D44" s="431" t="s">
        <v>258</v>
      </c>
      <c r="E44" s="432"/>
      <c r="F44" s="469" t="s">
        <v>150</v>
      </c>
      <c r="G44" s="471">
        <f>'Data input'!G49</f>
        <v>-1</v>
      </c>
      <c r="H44" s="412"/>
      <c r="I44" s="412"/>
      <c r="J44" s="412">
        <f>'Data input'!L49</f>
        <v>-1</v>
      </c>
      <c r="K44" s="412"/>
      <c r="L44" s="412"/>
      <c r="M44" s="412">
        <f>'Data input'!Q49</f>
        <v>-1</v>
      </c>
      <c r="N44" s="412"/>
      <c r="O44" s="413"/>
      <c r="P44" s="85"/>
      <c r="AZ44" s="114"/>
    </row>
    <row r="45" spans="1:52" x14ac:dyDescent="0.25">
      <c r="A45" s="2"/>
      <c r="B45" s="454"/>
      <c r="C45" s="455"/>
      <c r="D45" s="429" t="str">
        <f>IF('Data input'!D49="Please select main output here"," ",'Data input'!D49)</f>
        <v>Electricity</v>
      </c>
      <c r="E45" s="430"/>
      <c r="F45" s="470"/>
      <c r="G45" s="226">
        <f>IF('Data input'!G49="","Min",MIN('Data input'!G49:K49))</f>
        <v>-1</v>
      </c>
      <c r="H45" s="227" t="s">
        <v>253</v>
      </c>
      <c r="I45" s="228">
        <f>IF('Data input'!G49="","Max",MAX('Data input'!G49:K49))</f>
        <v>-1</v>
      </c>
      <c r="J45" s="229">
        <f>IF('Data input'!L49="","Min",MIN('Data input'!L49:P49))</f>
        <v>-1</v>
      </c>
      <c r="K45" s="227" t="s">
        <v>253</v>
      </c>
      <c r="L45" s="228">
        <f>IF('Data input'!L49="","Max",MAX('Data input'!L49:P49))</f>
        <v>-1</v>
      </c>
      <c r="M45" s="229">
        <f>IF('Data input'!Q49="","Min",MIN('Data input'!Q49:U49))</f>
        <v>-1</v>
      </c>
      <c r="N45" s="227" t="s">
        <v>253</v>
      </c>
      <c r="O45" s="230">
        <f>IF('Data input'!Q49="","Max",MAX('Data input'!Q49:U49))</f>
        <v>-1</v>
      </c>
      <c r="AZ45" s="114"/>
    </row>
    <row r="46" spans="1:52" x14ac:dyDescent="0.25">
      <c r="A46" s="2"/>
      <c r="B46" s="454"/>
      <c r="C46" s="455"/>
      <c r="D46" s="456" t="str">
        <f>IF('Data input'!D51="Please select"," ",'Data input'!D51)</f>
        <v>Solar energy</v>
      </c>
      <c r="E46" s="457"/>
      <c r="F46" s="332" t="s">
        <v>150</v>
      </c>
      <c r="G46" s="471">
        <f>'Data input'!G51</f>
        <v>1</v>
      </c>
      <c r="H46" s="412"/>
      <c r="I46" s="412"/>
      <c r="J46" s="412">
        <f>'Data input'!L51</f>
        <v>1</v>
      </c>
      <c r="K46" s="412"/>
      <c r="L46" s="412"/>
      <c r="M46" s="412">
        <f>'Data input'!Q51</f>
        <v>1</v>
      </c>
      <c r="N46" s="412"/>
      <c r="O46" s="413"/>
      <c r="AZ46" s="114"/>
    </row>
    <row r="47" spans="1:52" x14ac:dyDescent="0.25">
      <c r="A47" s="2"/>
      <c r="B47" s="454"/>
      <c r="C47" s="455"/>
      <c r="D47" s="458"/>
      <c r="E47" s="459"/>
      <c r="F47" s="449"/>
      <c r="G47" s="226">
        <f>IF('Data input'!G51="","Min",MIN('Data input'!G51:K51))</f>
        <v>1</v>
      </c>
      <c r="H47" s="227" t="s">
        <v>253</v>
      </c>
      <c r="I47" s="228">
        <f>IF('Data input'!G51="","Max",MAX('Data input'!G51:K51))</f>
        <v>1</v>
      </c>
      <c r="J47" s="229">
        <f>IF('Data input'!L51="","Min",MIN('Data input'!L51:P51))</f>
        <v>1</v>
      </c>
      <c r="K47" s="227" t="s">
        <v>253</v>
      </c>
      <c r="L47" s="228">
        <f>IF('Data input'!L51="","Max",MAX('Data input'!L51:P51))</f>
        <v>1</v>
      </c>
      <c r="M47" s="229">
        <f>IF('Data input'!Q51="","Min",MIN('Data input'!Q51:U51))</f>
        <v>1</v>
      </c>
      <c r="N47" s="227" t="s">
        <v>253</v>
      </c>
      <c r="O47" s="230">
        <f>IF('Data input'!Q51="","Max",MAX('Data input'!Q51:U51))</f>
        <v>1</v>
      </c>
      <c r="AZ47" s="114"/>
    </row>
    <row r="48" spans="1:52" x14ac:dyDescent="0.25">
      <c r="A48" s="2"/>
      <c r="B48" s="454"/>
      <c r="C48" s="455"/>
      <c r="D48" s="460" t="str">
        <f>IF('Data input'!D53="Please select"," ",'Data input'!D53)</f>
        <v xml:space="preserve"> </v>
      </c>
      <c r="E48" s="461"/>
      <c r="F48" s="332" t="s">
        <v>150</v>
      </c>
      <c r="G48" s="441">
        <f>'Data input'!G53</f>
        <v>0</v>
      </c>
      <c r="H48" s="410"/>
      <c r="I48" s="410"/>
      <c r="J48" s="410">
        <f>'Data input'!L53</f>
        <v>0</v>
      </c>
      <c r="K48" s="410"/>
      <c r="L48" s="410"/>
      <c r="M48" s="410">
        <f>'Data input'!Q53</f>
        <v>0</v>
      </c>
      <c r="N48" s="410"/>
      <c r="O48" s="411"/>
      <c r="AZ48" s="114"/>
    </row>
    <row r="49" spans="1:52" x14ac:dyDescent="0.25">
      <c r="A49" s="2"/>
      <c r="B49" s="454"/>
      <c r="C49" s="455"/>
      <c r="D49" s="458"/>
      <c r="E49" s="459"/>
      <c r="F49" s="449"/>
      <c r="G49" s="231" t="str">
        <f>IF('Data input'!G53="","Min",MIN('Data input'!G53:K53))</f>
        <v>Min</v>
      </c>
      <c r="H49" s="232" t="s">
        <v>253</v>
      </c>
      <c r="I49" s="233" t="str">
        <f>IF('Data input'!G53="","Max",MAX('Data input'!G53:K53))</f>
        <v>Max</v>
      </c>
      <c r="J49" s="234" t="str">
        <f>IF('Data input'!L53="","Min",MIN('Data input'!L53:P53))</f>
        <v>Min</v>
      </c>
      <c r="K49" s="232" t="s">
        <v>253</v>
      </c>
      <c r="L49" s="233" t="str">
        <f>IF('Data input'!L53="","Max",MAX('Data input'!L53:P53))</f>
        <v>Max</v>
      </c>
      <c r="M49" s="234" t="str">
        <f>IF('Data input'!Q53="","Min",MIN('Data input'!Q53:U53))</f>
        <v>Min</v>
      </c>
      <c r="N49" s="232" t="s">
        <v>253</v>
      </c>
      <c r="O49" s="235" t="str">
        <f>IF('Data input'!Q53="","Max",MAX('Data input'!Q53:U53))</f>
        <v>Max</v>
      </c>
      <c r="AZ49" s="114"/>
    </row>
    <row r="50" spans="1:52" x14ac:dyDescent="0.25">
      <c r="A50" s="2"/>
      <c r="B50" s="454"/>
      <c r="C50" s="455"/>
      <c r="D50" s="460" t="str">
        <f>IF('Data input'!D55="Please select"," ",'Data input'!D55)</f>
        <v xml:space="preserve"> </v>
      </c>
      <c r="E50" s="461"/>
      <c r="F50" s="332" t="s">
        <v>150</v>
      </c>
      <c r="G50" s="441">
        <f>'Data input'!G55</f>
        <v>0</v>
      </c>
      <c r="H50" s="410"/>
      <c r="I50" s="410"/>
      <c r="J50" s="410">
        <f>'Data input'!L55</f>
        <v>0</v>
      </c>
      <c r="K50" s="410"/>
      <c r="L50" s="410"/>
      <c r="M50" s="410">
        <f>'Data input'!Q55</f>
        <v>0</v>
      </c>
      <c r="N50" s="410"/>
      <c r="O50" s="411"/>
      <c r="AZ50" s="114"/>
    </row>
    <row r="51" spans="1:52" ht="16.5" thickBot="1" x14ac:dyDescent="0.3">
      <c r="A51" s="2"/>
      <c r="B51" s="454"/>
      <c r="C51" s="455"/>
      <c r="D51" s="462"/>
      <c r="E51" s="463"/>
      <c r="F51" s="464"/>
      <c r="G51" s="219" t="str">
        <f>IF('Data input'!G55="","Min",MIN('Data input'!G55:K55))</f>
        <v>Min</v>
      </c>
      <c r="H51" s="224" t="s">
        <v>253</v>
      </c>
      <c r="I51" s="220" t="str">
        <f>IF('Data input'!G55="","Max",MAX('Data input'!G55:K55))</f>
        <v>Max</v>
      </c>
      <c r="J51" s="225" t="str">
        <f>IF('Data input'!L55="","Min",MIN('Data input'!L55:P55))</f>
        <v>Min</v>
      </c>
      <c r="K51" s="224" t="s">
        <v>253</v>
      </c>
      <c r="L51" s="220" t="str">
        <f>IF('Data input'!L55="","Max",MAX('Data input'!L55:P55))</f>
        <v>Max</v>
      </c>
      <c r="M51" s="225" t="str">
        <f>IF('Data input'!Q55="","Min",MIN('Data input'!Q55:U55))</f>
        <v>Min</v>
      </c>
      <c r="N51" s="224" t="s">
        <v>253</v>
      </c>
      <c r="O51" s="222" t="str">
        <f>IF('Data input'!Q55="","Max",MAX('Data input'!Q55:U55))</f>
        <v>Max</v>
      </c>
      <c r="AZ51" s="114"/>
    </row>
    <row r="52" spans="1:52" ht="16.5" thickBot="1" x14ac:dyDescent="0.3">
      <c r="A52" s="2"/>
      <c r="B52" s="570" t="s">
        <v>222</v>
      </c>
      <c r="C52" s="571"/>
      <c r="D52" s="442" t="str">
        <f>IF('Data input'!D57="Explain here (e.g. flexible in and out)"," ",'Data input'!D57)</f>
        <v>Solar in = 1 and electricity out = -1.</v>
      </c>
      <c r="E52" s="443"/>
      <c r="F52" s="443"/>
      <c r="G52" s="443"/>
      <c r="H52" s="443"/>
      <c r="I52" s="443"/>
      <c r="J52" s="443"/>
      <c r="K52" s="443"/>
      <c r="L52" s="443"/>
      <c r="M52" s="443"/>
      <c r="N52" s="443"/>
      <c r="O52" s="444"/>
      <c r="AZ52" s="114" t="str">
        <f>D52</f>
        <v>Solar in = 1 and electricity out = -1.</v>
      </c>
    </row>
    <row r="53" spans="1:52" ht="16.5" thickBot="1" x14ac:dyDescent="0.3">
      <c r="A53" s="2"/>
      <c r="B53" s="528" t="s">
        <v>229</v>
      </c>
      <c r="C53" s="529"/>
      <c r="D53" s="567"/>
      <c r="E53" s="567"/>
      <c r="F53" s="567"/>
      <c r="G53" s="567"/>
      <c r="H53" s="567"/>
      <c r="I53" s="567"/>
      <c r="J53" s="567"/>
      <c r="K53" s="567"/>
      <c r="L53" s="567"/>
      <c r="M53" s="567"/>
      <c r="N53" s="567"/>
      <c r="O53" s="568"/>
      <c r="AZ53" s="114"/>
    </row>
    <row r="54" spans="1:52" x14ac:dyDescent="0.25">
      <c r="A54" s="2"/>
      <c r="B54" s="452" t="s">
        <v>121</v>
      </c>
      <c r="C54" s="453"/>
      <c r="D54" s="480" t="s">
        <v>230</v>
      </c>
      <c r="E54" s="448"/>
      <c r="F54" s="201" t="s">
        <v>195</v>
      </c>
      <c r="G54" s="480" t="s">
        <v>252</v>
      </c>
      <c r="H54" s="448"/>
      <c r="I54" s="448"/>
      <c r="J54" s="448">
        <v>2030</v>
      </c>
      <c r="K54" s="448"/>
      <c r="L54" s="448"/>
      <c r="M54" s="448">
        <v>2050</v>
      </c>
      <c r="N54" s="448"/>
      <c r="O54" s="473"/>
      <c r="AZ54" s="114"/>
    </row>
    <row r="55" spans="1:52" x14ac:dyDescent="0.25">
      <c r="A55" s="2"/>
      <c r="B55" s="454"/>
      <c r="C55" s="455"/>
      <c r="D55" s="578" t="str">
        <f>IF('Data input'!D69="Please select"," ",'Data input'!D69)</f>
        <v xml:space="preserve"> </v>
      </c>
      <c r="E55" s="579"/>
      <c r="F55" s="582" t="str">
        <f>IF('Data input'!F69="Please select"," ",'Data input'!F69)</f>
        <v xml:space="preserve"> </v>
      </c>
      <c r="G55" s="441">
        <f>'Data input'!G69</f>
        <v>0</v>
      </c>
      <c r="H55" s="410"/>
      <c r="I55" s="410"/>
      <c r="J55" s="410">
        <f>'Data input'!L69</f>
        <v>0</v>
      </c>
      <c r="K55" s="410"/>
      <c r="L55" s="410"/>
      <c r="M55" s="410">
        <f>'Data input'!Q69</f>
        <v>0</v>
      </c>
      <c r="N55" s="410"/>
      <c r="O55" s="411"/>
      <c r="AZ55" s="114"/>
    </row>
    <row r="56" spans="1:52" x14ac:dyDescent="0.25">
      <c r="A56" s="2"/>
      <c r="B56" s="454"/>
      <c r="C56" s="455"/>
      <c r="D56" s="578"/>
      <c r="E56" s="579"/>
      <c r="F56" s="582"/>
      <c r="G56" s="231" t="str">
        <f>IF('Data input'!G69="","Min",MIN('Data input'!G69:K69))</f>
        <v>Min</v>
      </c>
      <c r="H56" s="232" t="s">
        <v>253</v>
      </c>
      <c r="I56" s="233" t="str">
        <f>IF('Data input'!G69="","Max",MAX('Data input'!G69:K69))</f>
        <v>Max</v>
      </c>
      <c r="J56" s="234" t="str">
        <f>IF('Data input'!L69="","Min",MIN('Data input'!L69:P69))</f>
        <v>Min</v>
      </c>
      <c r="K56" s="232" t="s">
        <v>253</v>
      </c>
      <c r="L56" s="233" t="str">
        <f>IF('Data input'!L69="","Max",MAX('Data input'!L69:P69))</f>
        <v>Max</v>
      </c>
      <c r="M56" s="234" t="str">
        <f>IF('Data input'!Q69="","Min",MIN('Data input'!Q69:U69))</f>
        <v>Min</v>
      </c>
      <c r="N56" s="232" t="s">
        <v>253</v>
      </c>
      <c r="O56" s="235" t="str">
        <f>IF('Data input'!Q69="","Max",MAX('Data input'!Q69:U69))</f>
        <v>Max</v>
      </c>
      <c r="AZ56" s="114"/>
    </row>
    <row r="57" spans="1:52" x14ac:dyDescent="0.25">
      <c r="A57" s="2"/>
      <c r="B57" s="454"/>
      <c r="C57" s="455"/>
      <c r="D57" s="578" t="str">
        <f>IF('Data input'!D71="Please select"," ",'Data input'!D71)</f>
        <v xml:space="preserve"> </v>
      </c>
      <c r="E57" s="579"/>
      <c r="F57" s="582" t="str">
        <f>IF('Data input'!F71="Please select"," ",'Data input'!F71)</f>
        <v xml:space="preserve"> </v>
      </c>
      <c r="G57" s="441">
        <f>'Data input'!G71</f>
        <v>0</v>
      </c>
      <c r="H57" s="410"/>
      <c r="I57" s="410"/>
      <c r="J57" s="410">
        <f>'Data input'!L71</f>
        <v>0</v>
      </c>
      <c r="K57" s="410"/>
      <c r="L57" s="410"/>
      <c r="M57" s="410">
        <f>'Data input'!Q71</f>
        <v>0</v>
      </c>
      <c r="N57" s="410"/>
      <c r="O57" s="411"/>
      <c r="AZ57" s="114"/>
    </row>
    <row r="58" spans="1:52" x14ac:dyDescent="0.25">
      <c r="A58" s="2"/>
      <c r="B58" s="454"/>
      <c r="C58" s="455"/>
      <c r="D58" s="578"/>
      <c r="E58" s="579"/>
      <c r="F58" s="582"/>
      <c r="G58" s="231" t="str">
        <f>IF('Data input'!G71="","Min",MIN('Data input'!G71:K71))</f>
        <v>Min</v>
      </c>
      <c r="H58" s="232" t="s">
        <v>253</v>
      </c>
      <c r="I58" s="233" t="str">
        <f>IF('Data input'!G71="","Max",MAX('Data input'!G71:K71))</f>
        <v>Max</v>
      </c>
      <c r="J58" s="234" t="str">
        <f>IF('Data input'!L71="","Min",MIN('Data input'!L71:P71))</f>
        <v>Min</v>
      </c>
      <c r="K58" s="232" t="s">
        <v>253</v>
      </c>
      <c r="L58" s="233" t="str">
        <f>IF('Data input'!L71="","Max",MAX('Data input'!L71:P71))</f>
        <v>Max</v>
      </c>
      <c r="M58" s="234" t="str">
        <f>IF('Data input'!Q71="","Min",MIN('Data input'!Q71:U71))</f>
        <v>Min</v>
      </c>
      <c r="N58" s="232" t="s">
        <v>253</v>
      </c>
      <c r="O58" s="235" t="str">
        <f>IF('Data input'!Q71="","Max",MAX('Data input'!Q71:U71))</f>
        <v>Max</v>
      </c>
      <c r="AZ58" s="114"/>
    </row>
    <row r="59" spans="1:52" x14ac:dyDescent="0.25">
      <c r="A59" s="2"/>
      <c r="B59" s="454"/>
      <c r="C59" s="455"/>
      <c r="D59" s="578" t="str">
        <f>IF('Data input'!D73="Please select"," ",'Data input'!D73)</f>
        <v xml:space="preserve"> </v>
      </c>
      <c r="E59" s="579"/>
      <c r="F59" s="582" t="str">
        <f>IF('Data input'!F73="Please select"," ",'Data input'!F73)</f>
        <v xml:space="preserve"> </v>
      </c>
      <c r="G59" s="441">
        <f>'Data input'!G73</f>
        <v>0</v>
      </c>
      <c r="H59" s="410"/>
      <c r="I59" s="410"/>
      <c r="J59" s="410">
        <f>'Data input'!L73</f>
        <v>0</v>
      </c>
      <c r="K59" s="410"/>
      <c r="L59" s="410"/>
      <c r="M59" s="410">
        <f>'Data input'!Q73</f>
        <v>0</v>
      </c>
      <c r="N59" s="410"/>
      <c r="O59" s="411"/>
      <c r="AZ59" s="114"/>
    </row>
    <row r="60" spans="1:52" x14ac:dyDescent="0.25">
      <c r="A60" s="2"/>
      <c r="B60" s="454"/>
      <c r="C60" s="455"/>
      <c r="D60" s="578"/>
      <c r="E60" s="579"/>
      <c r="F60" s="582"/>
      <c r="G60" s="231" t="str">
        <f>IF('Data input'!G73="","Min",MIN('Data input'!G73:K73))</f>
        <v>Min</v>
      </c>
      <c r="H60" s="232" t="s">
        <v>253</v>
      </c>
      <c r="I60" s="233" t="str">
        <f>IF('Data input'!G73="","Max",MAX('Data input'!G73:K73))</f>
        <v>Max</v>
      </c>
      <c r="J60" s="234" t="str">
        <f>IF('Data input'!L73="","Min",MIN('Data input'!L73:P73))</f>
        <v>Min</v>
      </c>
      <c r="K60" s="232" t="s">
        <v>253</v>
      </c>
      <c r="L60" s="233" t="str">
        <f>IF('Data input'!L73="","Max",MAX('Data input'!L73:P73))</f>
        <v>Max</v>
      </c>
      <c r="M60" s="234" t="str">
        <f>IF('Data input'!Q73="","Min",MIN('Data input'!Q73:U73))</f>
        <v>Min</v>
      </c>
      <c r="N60" s="232" t="s">
        <v>253</v>
      </c>
      <c r="O60" s="235" t="str">
        <f>IF('Data input'!Q73="","Max",MAX('Data input'!Q73:U73))</f>
        <v>Max</v>
      </c>
      <c r="AZ60" s="114"/>
    </row>
    <row r="61" spans="1:52" x14ac:dyDescent="0.25">
      <c r="A61" s="2"/>
      <c r="B61" s="454"/>
      <c r="C61" s="455"/>
      <c r="D61" s="578" t="str">
        <f>IF('Data input'!D75="Please select"," ",'Data input'!D75)</f>
        <v xml:space="preserve"> </v>
      </c>
      <c r="E61" s="579"/>
      <c r="F61" s="582" t="str">
        <f>IF('Data input'!F75="Please select"," ",'Data input'!F75)</f>
        <v xml:space="preserve"> </v>
      </c>
      <c r="G61" s="441">
        <f>'Data input'!G75</f>
        <v>0</v>
      </c>
      <c r="H61" s="410"/>
      <c r="I61" s="410"/>
      <c r="J61" s="410">
        <f>'Data input'!L75</f>
        <v>0</v>
      </c>
      <c r="K61" s="410"/>
      <c r="L61" s="410"/>
      <c r="M61" s="410">
        <f>'Data input'!Q75</f>
        <v>0</v>
      </c>
      <c r="N61" s="410"/>
      <c r="O61" s="411"/>
      <c r="AZ61" s="114"/>
    </row>
    <row r="62" spans="1:52" ht="16.5" thickBot="1" x14ac:dyDescent="0.3">
      <c r="A62" s="2"/>
      <c r="B62" s="454"/>
      <c r="C62" s="455"/>
      <c r="D62" s="580"/>
      <c r="E62" s="581"/>
      <c r="F62" s="583"/>
      <c r="G62" s="219" t="str">
        <f>IF('Data input'!G75="","Min",MIN('Data input'!G75:K75))</f>
        <v>Min</v>
      </c>
      <c r="H62" s="224" t="s">
        <v>253</v>
      </c>
      <c r="I62" s="220" t="str">
        <f>IF('Data input'!G75="","Max",MAX('Data input'!G75:K75))</f>
        <v>Max</v>
      </c>
      <c r="J62" s="225" t="str">
        <f>IF('Data input'!L75="","Min",MIN('Data input'!L75:P75))</f>
        <v>Min</v>
      </c>
      <c r="K62" s="224" t="s">
        <v>253</v>
      </c>
      <c r="L62" s="220" t="str">
        <f>IF('Data input'!L75="","Max",MAX('Data input'!L75:P75))</f>
        <v>Max</v>
      </c>
      <c r="M62" s="225" t="str">
        <f>IF('Data input'!Q75="","Min",MIN('Data input'!Q75:U75))</f>
        <v>Min</v>
      </c>
      <c r="N62" s="224" t="s">
        <v>253</v>
      </c>
      <c r="O62" s="222" t="str">
        <f>IF('Data input'!Q75="","Max",MAX('Data input'!Q75:U75))</f>
        <v>Max</v>
      </c>
      <c r="AZ62" s="114"/>
    </row>
    <row r="63" spans="1:52" ht="16.5" thickBot="1" x14ac:dyDescent="0.3">
      <c r="A63" s="2"/>
      <c r="B63" s="452" t="s">
        <v>231</v>
      </c>
      <c r="C63" s="577"/>
      <c r="D63" s="503" t="str">
        <f>IF('Data input'!D77="Explain here (e.g. emission factors if calculated)"," ",'Data input'!D77)</f>
        <v xml:space="preserve"> </v>
      </c>
      <c r="E63" s="504"/>
      <c r="F63" s="504"/>
      <c r="G63" s="504"/>
      <c r="H63" s="504"/>
      <c r="I63" s="504"/>
      <c r="J63" s="504"/>
      <c r="K63" s="504"/>
      <c r="L63" s="504"/>
      <c r="M63" s="504"/>
      <c r="N63" s="504"/>
      <c r="O63" s="505"/>
      <c r="AZ63" s="114" t="str">
        <f>D63</f>
        <v xml:space="preserve"> </v>
      </c>
    </row>
    <row r="64" spans="1:52" ht="16.5" thickBot="1" x14ac:dyDescent="0.3">
      <c r="A64" s="2"/>
      <c r="B64" s="528" t="s">
        <v>130</v>
      </c>
      <c r="C64" s="529"/>
      <c r="D64" s="529"/>
      <c r="E64" s="529"/>
      <c r="F64" s="529"/>
      <c r="G64" s="529"/>
      <c r="H64" s="529"/>
      <c r="I64" s="529"/>
      <c r="J64" s="529"/>
      <c r="K64" s="529"/>
      <c r="L64" s="529"/>
      <c r="M64" s="529"/>
      <c r="N64" s="529"/>
      <c r="O64" s="530"/>
      <c r="AZ64" s="114"/>
    </row>
    <row r="65" spans="1:52" x14ac:dyDescent="0.25">
      <c r="A65" s="2"/>
      <c r="B65" s="435" t="str">
        <f>IF('Data input'!C91="Specify complete references and data sources used here in order of importance (mostly used)"," ",'Data input'!C91)</f>
        <v>CBS (2018). Hernieuwbare energie in Nederland 2017, oktober 2018 https://www.cbs.nl/nl-nl/publicatie/2018/40/hernieuwbare-energie-in-nederland-2017</v>
      </c>
      <c r="C65" s="436"/>
      <c r="D65" s="436"/>
      <c r="E65" s="436"/>
      <c r="F65" s="436"/>
      <c r="G65" s="436"/>
      <c r="H65" s="436"/>
      <c r="I65" s="436"/>
      <c r="J65" s="436"/>
      <c r="K65" s="436"/>
      <c r="L65" s="436"/>
      <c r="M65" s="436"/>
      <c r="N65" s="436"/>
      <c r="O65" s="437"/>
      <c r="AZ65" s="114" t="str">
        <f>B65</f>
        <v>CBS (2018). Hernieuwbare energie in Nederland 2017, oktober 2018 https://www.cbs.nl/nl-nl/publicatie/2018/40/hernieuwbare-energie-in-nederland-2017</v>
      </c>
    </row>
    <row r="66" spans="1:52" ht="31.5" customHeight="1" x14ac:dyDescent="0.25">
      <c r="A66" s="2" t="s">
        <v>259</v>
      </c>
      <c r="B66" s="414" t="str">
        <f>IF('Data input'!C92=""," ",'Data input'!C92)</f>
        <v>FhG-ISE (2015). Current and Future Cost of Photovoltaics Long-term Scenarios for Market Development, System Prices and LCOE of Utility-Scale PV Systems, Fraunhofer-Institute for Solar Energy Systems (ISE), Johannes N. Mayer et al. (2015) https://www.ise.fraunhofer.de/content/dam/ise/de/documents/publications/studies/AgoraEnergiewende_Current_and_Future_Cost_of_PV_Feb2015_web.pdf</v>
      </c>
      <c r="C66" s="408"/>
      <c r="D66" s="408"/>
      <c r="E66" s="408"/>
      <c r="F66" s="408"/>
      <c r="G66" s="408"/>
      <c r="H66" s="408"/>
      <c r="I66" s="408"/>
      <c r="J66" s="408"/>
      <c r="K66" s="408"/>
      <c r="L66" s="408"/>
      <c r="M66" s="408"/>
      <c r="N66" s="408"/>
      <c r="O66" s="415"/>
      <c r="AZ66" s="114" t="str">
        <f t="shared" ref="AZ66:AZ75" si="0">B66</f>
        <v>FhG-ISE (2015). Current and Future Cost of Photovoltaics Long-term Scenarios for Market Development, System Prices and LCOE of Utility-Scale PV Systems, Fraunhofer-Institute for Solar Energy Systems (ISE), Johannes N. Mayer et al. (2015) https://www.ise.fraunhofer.de/content/dam/ise/de/documents/publications/studies/AgoraEnergiewende_Current_and_Future_Cost_of_PV_Feb2015_web.pdf</v>
      </c>
    </row>
    <row r="67" spans="1:52" x14ac:dyDescent="0.25">
      <c r="A67" s="2"/>
      <c r="B67" s="414" t="str">
        <f>IF('Data input'!C93=""," ",'Data input'!C93)</f>
        <v>Gasunie (2018). Verkenning 2050.</v>
      </c>
      <c r="C67" s="408"/>
      <c r="D67" s="408"/>
      <c r="E67" s="408"/>
      <c r="F67" s="408"/>
      <c r="G67" s="408"/>
      <c r="H67" s="408"/>
      <c r="I67" s="408"/>
      <c r="J67" s="408"/>
      <c r="K67" s="408"/>
      <c r="L67" s="408"/>
      <c r="M67" s="408"/>
      <c r="N67" s="408"/>
      <c r="O67" s="415"/>
      <c r="AZ67" s="114" t="str">
        <f t="shared" si="0"/>
        <v>Gasunie (2018). Verkenning 2050.</v>
      </c>
    </row>
    <row r="68" spans="1:52" ht="17.25" customHeight="1" x14ac:dyDescent="0.25">
      <c r="A68" s="2"/>
      <c r="B68" s="414" t="str">
        <f>IF('Data input'!C94=""," ",'Data input'!C94)</f>
        <v>PBL (2014). Het potentieel van zonnestroom in de gebouwde omgeving van Nederland. https://www.pbl.nl/publicaties/het-potentieel-van-zonnestroom-in-de-gebouwde-omgeving-van-nederland</v>
      </c>
      <c r="C68" s="408"/>
      <c r="D68" s="408"/>
      <c r="E68" s="408"/>
      <c r="F68" s="408"/>
      <c r="G68" s="408"/>
      <c r="H68" s="408"/>
      <c r="I68" s="408"/>
      <c r="J68" s="408"/>
      <c r="K68" s="408"/>
      <c r="L68" s="408"/>
      <c r="M68" s="408"/>
      <c r="N68" s="408"/>
      <c r="O68" s="415"/>
      <c r="AZ68" s="114" t="str">
        <f t="shared" si="0"/>
        <v>PBL (2014). Het potentieel van zonnestroom in de gebouwde omgeving van Nederland. https://www.pbl.nl/publicaties/het-potentieel-van-zonnestroom-in-de-gebouwde-omgeving-van-nederland</v>
      </c>
    </row>
    <row r="69" spans="1:52" ht="19.5" customHeight="1" x14ac:dyDescent="0.25">
      <c r="A69" s="105"/>
      <c r="B69" s="414" t="str">
        <f>IF('Data input'!C95=""," ",'Data input'!C95)</f>
        <v>PBL (2018). Eindadvies Basisbedragen SDE+ 2019, december 2018, Sander Lensink (editor), https://www.pbl.nl/publicaties/eindadvies-basisbedragen-sde-2019</v>
      </c>
      <c r="C69" s="408"/>
      <c r="D69" s="408"/>
      <c r="E69" s="408"/>
      <c r="F69" s="408"/>
      <c r="G69" s="408"/>
      <c r="H69" s="408"/>
      <c r="I69" s="408"/>
      <c r="J69" s="408"/>
      <c r="K69" s="408"/>
      <c r="L69" s="408"/>
      <c r="M69" s="408"/>
      <c r="N69" s="408"/>
      <c r="O69" s="415"/>
      <c r="AZ69" s="114" t="str">
        <f t="shared" si="0"/>
        <v>PBL (2018). Eindadvies Basisbedragen SDE+ 2019, december 2018, Sander Lensink (editor), https://www.pbl.nl/publicaties/eindadvies-basisbedragen-sde-2019</v>
      </c>
    </row>
    <row r="70" spans="1:52" ht="16.5" thickBot="1" x14ac:dyDescent="0.3">
      <c r="A70" s="2"/>
      <c r="B70" s="438" t="str">
        <f>IF('Data input'!C96=""," ",'Data input'!C96)</f>
        <v>PBL (2019). Conceptadvies basisbedragen SDE+ 2020, april 2019, https://www.pbl.nl/publicaties/conceptadvies-zonne-energie-sde-2020</v>
      </c>
      <c r="C70" s="439"/>
      <c r="D70" s="439"/>
      <c r="E70" s="439"/>
      <c r="F70" s="439"/>
      <c r="G70" s="439"/>
      <c r="H70" s="439"/>
      <c r="I70" s="439"/>
      <c r="J70" s="439"/>
      <c r="K70" s="439"/>
      <c r="L70" s="439"/>
      <c r="M70" s="439"/>
      <c r="N70" s="439"/>
      <c r="O70" s="440"/>
      <c r="AZ70" s="114" t="str">
        <f t="shared" si="0"/>
        <v>PBL (2019). Conceptadvies basisbedragen SDE+ 2020, april 2019, https://www.pbl.nl/publicaties/conceptadvies-zonne-energie-sde-2020</v>
      </c>
    </row>
    <row r="71" spans="1:52" x14ac:dyDescent="0.25">
      <c r="A71" s="2"/>
      <c r="B71" s="445" t="str">
        <f>IF('Data input'!C97=""," ",'Data input'!C97)</f>
        <v xml:space="preserve"> </v>
      </c>
      <c r="C71" s="446"/>
      <c r="D71" s="446"/>
      <c r="E71" s="446"/>
      <c r="F71" s="446"/>
      <c r="G71" s="446"/>
      <c r="H71" s="446"/>
      <c r="I71" s="446"/>
      <c r="J71" s="446"/>
      <c r="K71" s="446"/>
      <c r="L71" s="446"/>
      <c r="M71" s="446"/>
      <c r="N71" s="446"/>
      <c r="O71" s="447"/>
      <c r="AZ71" s="114" t="str">
        <f t="shared" si="0"/>
        <v xml:space="preserve"> </v>
      </c>
    </row>
    <row r="72" spans="1:52" x14ac:dyDescent="0.25">
      <c r="A72" s="2"/>
      <c r="B72" s="414" t="str">
        <f>IF('Data input'!C98=""," ",'Data input'!C98)</f>
        <v xml:space="preserve"> </v>
      </c>
      <c r="C72" s="408"/>
      <c r="D72" s="408"/>
      <c r="E72" s="408"/>
      <c r="F72" s="408"/>
      <c r="G72" s="408"/>
      <c r="H72" s="408"/>
      <c r="I72" s="408"/>
      <c r="J72" s="408"/>
      <c r="K72" s="408"/>
      <c r="L72" s="408"/>
      <c r="M72" s="408"/>
      <c r="N72" s="408"/>
      <c r="O72" s="415"/>
      <c r="AZ72" s="114" t="str">
        <f t="shared" si="0"/>
        <v xml:space="preserve"> </v>
      </c>
    </row>
    <row r="73" spans="1:52" x14ac:dyDescent="0.25">
      <c r="A73" s="2"/>
      <c r="B73" s="414" t="str">
        <f>IF('Data input'!C99=""," ",'Data input'!C99)</f>
        <v xml:space="preserve"> </v>
      </c>
      <c r="C73" s="408"/>
      <c r="D73" s="408"/>
      <c r="E73" s="408"/>
      <c r="F73" s="408"/>
      <c r="G73" s="408"/>
      <c r="H73" s="408"/>
      <c r="I73" s="408"/>
      <c r="J73" s="408"/>
      <c r="K73" s="408"/>
      <c r="L73" s="408"/>
      <c r="M73" s="408"/>
      <c r="N73" s="408"/>
      <c r="O73" s="415"/>
      <c r="AZ73" s="114" t="str">
        <f t="shared" si="0"/>
        <v xml:space="preserve"> </v>
      </c>
    </row>
    <row r="74" spans="1:52" x14ac:dyDescent="0.25">
      <c r="A74" s="2"/>
      <c r="B74" s="414" t="str">
        <f>IF('Data input'!C100=""," ",'Data input'!C100)</f>
        <v xml:space="preserve"> </v>
      </c>
      <c r="C74" s="408"/>
      <c r="D74" s="408"/>
      <c r="E74" s="408"/>
      <c r="F74" s="408"/>
      <c r="G74" s="408"/>
      <c r="H74" s="408"/>
      <c r="I74" s="408"/>
      <c r="J74" s="408"/>
      <c r="K74" s="408"/>
      <c r="L74" s="408"/>
      <c r="M74" s="408"/>
      <c r="N74" s="408"/>
      <c r="O74" s="415"/>
      <c r="AZ74" s="114" t="str">
        <f t="shared" si="0"/>
        <v xml:space="preserve"> </v>
      </c>
    </row>
    <row r="75" spans="1:52" ht="16.5" thickBot="1" x14ac:dyDescent="0.3">
      <c r="A75" s="2"/>
      <c r="B75" s="416" t="str">
        <f>IF('Data input'!C101="Add other sources here"," ",'Data input'!C101)</f>
        <v xml:space="preserve"> </v>
      </c>
      <c r="C75" s="417"/>
      <c r="D75" s="417"/>
      <c r="E75" s="417"/>
      <c r="F75" s="417"/>
      <c r="G75" s="417"/>
      <c r="H75" s="417"/>
      <c r="I75" s="417"/>
      <c r="J75" s="417"/>
      <c r="K75" s="417"/>
      <c r="L75" s="417"/>
      <c r="M75" s="417"/>
      <c r="N75" s="417"/>
      <c r="O75" s="418"/>
      <c r="AZ75" s="114" t="str">
        <f t="shared" si="0"/>
        <v xml:space="preserve"> </v>
      </c>
    </row>
  </sheetData>
  <sheetProtection algorithmName="SHA-512" hashValue="ZFfOj6vG43JELoJMWLqWrSk4x1KTrzSYtCjsc+uUH8LI1j3XB3TL45SDsEbynnmDPkx/X16gj82C3O8c45hv1g==" saltValue="5gfAgCWYTBzFJpiuC+CbFQ==" spinCount="100000" sheet="1" objects="1" scenarios="1"/>
  <mergeCells count="154">
    <mergeCell ref="B64:O64"/>
    <mergeCell ref="B63:C63"/>
    <mergeCell ref="D63:O63"/>
    <mergeCell ref="D61:E62"/>
    <mergeCell ref="F61:F62"/>
    <mergeCell ref="B53:O53"/>
    <mergeCell ref="B54:C62"/>
    <mergeCell ref="G54:I54"/>
    <mergeCell ref="D59:E60"/>
    <mergeCell ref="F59:F60"/>
    <mergeCell ref="G57:I57"/>
    <mergeCell ref="J57:L57"/>
    <mergeCell ref="D55:E56"/>
    <mergeCell ref="F55:F56"/>
    <mergeCell ref="G55:I55"/>
    <mergeCell ref="J55:L55"/>
    <mergeCell ref="M55:O55"/>
    <mergeCell ref="D57:E58"/>
    <mergeCell ref="F57:F58"/>
    <mergeCell ref="M54:O54"/>
    <mergeCell ref="D54:E54"/>
    <mergeCell ref="D12:O12"/>
    <mergeCell ref="D10:O11"/>
    <mergeCell ref="B10:C11"/>
    <mergeCell ref="B14:O14"/>
    <mergeCell ref="G61:I61"/>
    <mergeCell ref="J61:L61"/>
    <mergeCell ref="M61:O61"/>
    <mergeCell ref="B39:C40"/>
    <mergeCell ref="G50:I50"/>
    <mergeCell ref="J50:L50"/>
    <mergeCell ref="M50:O50"/>
    <mergeCell ref="B41:C41"/>
    <mergeCell ref="B42:O42"/>
    <mergeCell ref="D41:O41"/>
    <mergeCell ref="G39:I39"/>
    <mergeCell ref="J39:L39"/>
    <mergeCell ref="M39:O39"/>
    <mergeCell ref="B52:C52"/>
    <mergeCell ref="M59:O59"/>
    <mergeCell ref="G15:O15"/>
    <mergeCell ref="D15:F15"/>
    <mergeCell ref="B15:C15"/>
    <mergeCell ref="B24:C24"/>
    <mergeCell ref="B23:C23"/>
    <mergeCell ref="B3:O3"/>
    <mergeCell ref="B4:C4"/>
    <mergeCell ref="D4:O4"/>
    <mergeCell ref="D7:O7"/>
    <mergeCell ref="B9:C9"/>
    <mergeCell ref="D9:O9"/>
    <mergeCell ref="B8:C8"/>
    <mergeCell ref="D8:O8"/>
    <mergeCell ref="B6:C6"/>
    <mergeCell ref="B7:C7"/>
    <mergeCell ref="D6:O6"/>
    <mergeCell ref="J21:L21"/>
    <mergeCell ref="M21:O21"/>
    <mergeCell ref="D18:E20"/>
    <mergeCell ref="D16:F17"/>
    <mergeCell ref="B30:O30"/>
    <mergeCell ref="D13:O13"/>
    <mergeCell ref="D23:O23"/>
    <mergeCell ref="B26:C26"/>
    <mergeCell ref="B27:C27"/>
    <mergeCell ref="G16:O16"/>
    <mergeCell ref="B16:C16"/>
    <mergeCell ref="D31:O31"/>
    <mergeCell ref="B32:C34"/>
    <mergeCell ref="D32:F32"/>
    <mergeCell ref="G17:I17"/>
    <mergeCell ref="J17:L17"/>
    <mergeCell ref="M17:O17"/>
    <mergeCell ref="F18:F20"/>
    <mergeCell ref="D26:O26"/>
    <mergeCell ref="D24:O24"/>
    <mergeCell ref="D27:O27"/>
    <mergeCell ref="D33:D34"/>
    <mergeCell ref="B29:C29"/>
    <mergeCell ref="D29:O29"/>
    <mergeCell ref="D28:O28"/>
    <mergeCell ref="B28:C28"/>
    <mergeCell ref="E25:O25"/>
    <mergeCell ref="B31:C31"/>
    <mergeCell ref="G18:I18"/>
    <mergeCell ref="J18:L18"/>
    <mergeCell ref="M18:O18"/>
    <mergeCell ref="G19:I19"/>
    <mergeCell ref="J19:L19"/>
    <mergeCell ref="M19:O19"/>
    <mergeCell ref="G21:I21"/>
    <mergeCell ref="M35:O35"/>
    <mergeCell ref="E33:F34"/>
    <mergeCell ref="E35:F36"/>
    <mergeCell ref="M32:O32"/>
    <mergeCell ref="J46:L46"/>
    <mergeCell ref="M43:O43"/>
    <mergeCell ref="J44:L44"/>
    <mergeCell ref="M46:O46"/>
    <mergeCell ref="J37:L37"/>
    <mergeCell ref="M37:O37"/>
    <mergeCell ref="J43:L43"/>
    <mergeCell ref="G35:I35"/>
    <mergeCell ref="E39:F40"/>
    <mergeCell ref="G37:I37"/>
    <mergeCell ref="E37:F38"/>
    <mergeCell ref="F46:F47"/>
    <mergeCell ref="G46:I46"/>
    <mergeCell ref="D43:E43"/>
    <mergeCell ref="G43:I43"/>
    <mergeCell ref="G32:I32"/>
    <mergeCell ref="J32:L32"/>
    <mergeCell ref="M33:O33"/>
    <mergeCell ref="F48:F49"/>
    <mergeCell ref="G33:I33"/>
    <mergeCell ref="J33:L33"/>
    <mergeCell ref="B43:C51"/>
    <mergeCell ref="D46:E47"/>
    <mergeCell ref="D50:E51"/>
    <mergeCell ref="F50:F51"/>
    <mergeCell ref="G48:I48"/>
    <mergeCell ref="D39:D40"/>
    <mergeCell ref="B37:C38"/>
    <mergeCell ref="J48:L48"/>
    <mergeCell ref="J35:L35"/>
    <mergeCell ref="D48:E49"/>
    <mergeCell ref="D37:D38"/>
    <mergeCell ref="D35:D36"/>
    <mergeCell ref="F44:F45"/>
    <mergeCell ref="G44:I44"/>
    <mergeCell ref="M48:O48"/>
    <mergeCell ref="M44:O44"/>
    <mergeCell ref="B74:O74"/>
    <mergeCell ref="B75:O75"/>
    <mergeCell ref="D21:E22"/>
    <mergeCell ref="F21:F22"/>
    <mergeCell ref="B35:C36"/>
    <mergeCell ref="D45:E45"/>
    <mergeCell ref="D44:E44"/>
    <mergeCell ref="B25:C25"/>
    <mergeCell ref="B65:O65"/>
    <mergeCell ref="B66:O66"/>
    <mergeCell ref="B67:O67"/>
    <mergeCell ref="B68:O68"/>
    <mergeCell ref="B69:O69"/>
    <mergeCell ref="B70:O70"/>
    <mergeCell ref="G59:I59"/>
    <mergeCell ref="J59:L59"/>
    <mergeCell ref="D52:O52"/>
    <mergeCell ref="B72:O72"/>
    <mergeCell ref="B73:O73"/>
    <mergeCell ref="M57:O57"/>
    <mergeCell ref="B71:O71"/>
    <mergeCell ref="J54:L54"/>
  </mergeCells>
  <conditionalFormatting sqref="D6:D9">
    <cfRule type="containsText" dxfId="284" priority="772" operator="containsText" text="Please select">
      <formula>NOT(ISERROR(SEARCH("Please select",D6)))</formula>
    </cfRule>
  </conditionalFormatting>
  <conditionalFormatting sqref="D10">
    <cfRule type="containsText" dxfId="283" priority="768" operator="containsText" text="Specify here">
      <formula>NOT(ISERROR(SEARCH("Specify here",D10)))</formula>
    </cfRule>
  </conditionalFormatting>
  <conditionalFormatting sqref="D4:O5">
    <cfRule type="containsText" dxfId="282" priority="767" operator="containsText" text="DD-MM-YYYY">
      <formula>NOT(ISERROR(SEARCH("DD-MM-YYYY",D4)))</formula>
    </cfRule>
  </conditionalFormatting>
  <conditionalFormatting sqref="D12:O12">
    <cfRule type="containsText" dxfId="281" priority="764" operator="containsText" text="Select the observed or expected TRL level in 2020">
      <formula>NOT(ISERROR(SEARCH("Select the observed or expected TRL level in 2020",D12)))</formula>
    </cfRule>
    <cfRule type="containsText" dxfId="280" priority="766" operator="containsText" text="Specify here the observed or expected TRL level in 2020">
      <formula>NOT(ISERROR(SEARCH("Specify here the observed or expected TRL level in 2020",D12)))</formula>
    </cfRule>
  </conditionalFormatting>
  <conditionalFormatting sqref="D13:O13">
    <cfRule type="containsText" dxfId="279" priority="765" operator="containsText" text="Explain here">
      <formula>NOT(ISERROR(SEARCH("Explain here",D13)))</formula>
    </cfRule>
  </conditionalFormatting>
  <conditionalFormatting sqref="D31">
    <cfRule type="containsText" dxfId="278" priority="762" operator="containsText" text="Specify here">
      <formula>NOT(ISERROR(SEARCH("Specify here",D31)))</formula>
    </cfRule>
  </conditionalFormatting>
  <conditionalFormatting sqref="D41:O41">
    <cfRule type="containsText" dxfId="277" priority="761" operator="containsText" text="Explain here (e.g. other costs)">
      <formula>NOT(ISERROR(SEARCH("Explain here (e.g. other costs)",D41)))</formula>
    </cfRule>
  </conditionalFormatting>
  <conditionalFormatting sqref="D52:O52">
    <cfRule type="containsText" dxfId="276" priority="760" operator="containsText" text="Explain here (e.g. flexible in and out)">
      <formula>NOT(ISERROR(SEARCH("Explain here (e.g. flexible in and out)",D52)))</formula>
    </cfRule>
  </conditionalFormatting>
  <conditionalFormatting sqref="D45">
    <cfRule type="containsText" dxfId="275" priority="759" operator="containsText" text="Select">
      <formula>NOT(ISERROR(SEARCH("Select",D45)))</formula>
    </cfRule>
  </conditionalFormatting>
  <conditionalFormatting sqref="D16:F17 D23:F24 D26:F28 D25:E25">
    <cfRule type="containsText" dxfId="274" priority="748" operator="containsText" text="Please select">
      <formula>NOT(ISERROR(SEARCH("Please select",D16)))</formula>
    </cfRule>
  </conditionalFormatting>
  <conditionalFormatting sqref="D18 F18">
    <cfRule type="containsText" dxfId="273" priority="739" operator="containsText" text="Please select 'Functional Unit' above">
      <formula>NOT(ISERROR(SEARCH("Please select 'Functional Unit' above",D18)))</formula>
    </cfRule>
  </conditionalFormatting>
  <conditionalFormatting sqref="E33">
    <cfRule type="containsText" dxfId="272" priority="737" operator="containsText" text="Please select 'Functional Unit' above">
      <formula>NOT(ISERROR(SEARCH("Please select 'Functional Unit' above",E33)))</formula>
    </cfRule>
  </conditionalFormatting>
  <conditionalFormatting sqref="E35">
    <cfRule type="containsText" dxfId="271" priority="736" operator="containsText" text="Please select 'Functional Unit' above">
      <formula>NOT(ISERROR(SEARCH("Please select 'Functional Unit' above",E35)))</formula>
    </cfRule>
  </conditionalFormatting>
  <conditionalFormatting sqref="E37">
    <cfRule type="containsText" dxfId="270" priority="735" operator="containsText" text="Please select 'Functional Unit' above">
      <formula>NOT(ISERROR(SEARCH("Please select 'Functional Unit' above",E37)))</formula>
    </cfRule>
  </conditionalFormatting>
  <conditionalFormatting sqref="D55">
    <cfRule type="containsText" dxfId="269" priority="719" operator="containsText" text="Select">
      <formula>NOT(ISERROR(SEARCH("Select",D55)))</formula>
    </cfRule>
  </conditionalFormatting>
  <conditionalFormatting sqref="F55:F62">
    <cfRule type="containsText" dxfId="268" priority="712" operator="containsText" text="Please select">
      <formula>NOT(ISERROR(SEARCH("Please select",F55)))</formula>
    </cfRule>
  </conditionalFormatting>
  <conditionalFormatting sqref="D29:O29">
    <cfRule type="containsText" dxfId="267" priority="693" operator="containsText" text="Explain here">
      <formula>NOT(ISERROR(SEARCH("Explain here",D29)))</formula>
    </cfRule>
  </conditionalFormatting>
  <conditionalFormatting sqref="D63:O63">
    <cfRule type="containsText" dxfId="266" priority="705" operator="containsText" text="Explain here">
      <formula>NOT(ISERROR(SEARCH("Explain here",D63)))</formula>
    </cfRule>
  </conditionalFormatting>
  <conditionalFormatting sqref="B65:B75">
    <cfRule type="containsText" dxfId="265" priority="704" operator="containsText" text="Specify data sources and references here">
      <formula>NOT(ISERROR(SEARCH("Specify data sources and references here",B65)))</formula>
    </cfRule>
  </conditionalFormatting>
  <conditionalFormatting sqref="E39">
    <cfRule type="containsText" dxfId="264" priority="703" operator="containsText" text="Please select 'Functional Unit' above">
      <formula>NOT(ISERROR(SEARCH("Please select 'Functional Unit' above",E39)))</formula>
    </cfRule>
  </conditionalFormatting>
  <conditionalFormatting sqref="F44:F51">
    <cfRule type="containsText" dxfId="263" priority="701" operator="containsText" text="Please select">
      <formula>NOT(ISERROR(SEARCH("Please select",F44)))</formula>
    </cfRule>
  </conditionalFormatting>
  <conditionalFormatting sqref="G34 I34 G33:O33 G35:O35 G37:O37">
    <cfRule type="containsText" dxfId="262" priority="697" operator="containsText" text="Max">
      <formula>NOT(ISERROR(SEARCH("Max",G33)))</formula>
    </cfRule>
    <cfRule type="containsText" dxfId="261" priority="698" operator="containsText" text="Min">
      <formula>NOT(ISERROR(SEARCH("Min",G33)))</formula>
    </cfRule>
    <cfRule type="containsText" dxfId="260" priority="699" operator="containsText" text="Specify ">
      <formula>NOT(ISERROR(SEARCH("Specify ",G33)))</formula>
    </cfRule>
  </conditionalFormatting>
  <conditionalFormatting sqref="D46">
    <cfRule type="containsText" dxfId="259" priority="692" operator="containsText" text="Select">
      <formula>NOT(ISERROR(SEARCH("Select",D46)))</formula>
    </cfRule>
  </conditionalFormatting>
  <conditionalFormatting sqref="D48">
    <cfRule type="containsText" dxfId="258" priority="691" operator="containsText" text="Select">
      <formula>NOT(ISERROR(SEARCH("Select",D48)))</formula>
    </cfRule>
  </conditionalFormatting>
  <conditionalFormatting sqref="D50">
    <cfRule type="containsText" dxfId="257" priority="690" operator="containsText" text="Select">
      <formula>NOT(ISERROR(SEARCH("Select",D50)))</formula>
    </cfRule>
  </conditionalFormatting>
  <conditionalFormatting sqref="D57">
    <cfRule type="containsText" dxfId="256" priority="688" operator="containsText" text="Select">
      <formula>NOT(ISERROR(SEARCH("Select",D57)))</formula>
    </cfRule>
  </conditionalFormatting>
  <conditionalFormatting sqref="D59">
    <cfRule type="containsText" dxfId="255" priority="687" operator="containsText" text="Select">
      <formula>NOT(ISERROR(SEARCH("Select",D59)))</formula>
    </cfRule>
  </conditionalFormatting>
  <conditionalFormatting sqref="D61">
    <cfRule type="containsText" dxfId="254" priority="686" operator="containsText" text="Select">
      <formula>NOT(ISERROR(SEARCH("Select",D61)))</formula>
    </cfRule>
  </conditionalFormatting>
  <conditionalFormatting sqref="D21 F21">
    <cfRule type="containsText" dxfId="253" priority="679" operator="containsText" text="Please select 'Functional Unit' above">
      <formula>NOT(ISERROR(SEARCH("Please select 'Functional Unit' above",D21)))</formula>
    </cfRule>
  </conditionalFormatting>
  <conditionalFormatting sqref="G20:O20 G22:O22">
    <cfRule type="containsText" dxfId="252" priority="676" operator="containsText" text="Max">
      <formula>NOT(ISERROR(SEARCH("Max",G20)))</formula>
    </cfRule>
    <cfRule type="containsText" dxfId="251" priority="677" operator="containsText" text="Min">
      <formula>NOT(ISERROR(SEARCH("Min",G20)))</formula>
    </cfRule>
    <cfRule type="containsText" dxfId="250" priority="678" operator="containsText" text="Specify ">
      <formula>NOT(ISERROR(SEARCH("Specify ",G20)))</formula>
    </cfRule>
  </conditionalFormatting>
  <conditionalFormatting sqref="G17:I17">
    <cfRule type="containsText" dxfId="249" priority="675" operator="containsText" text="min">
      <formula>NOT(ISERROR(SEARCH("min",G17)))</formula>
    </cfRule>
  </conditionalFormatting>
  <conditionalFormatting sqref="M17:O17">
    <cfRule type="containsText" dxfId="248" priority="674" operator="containsText" text="max">
      <formula>NOT(ISERROR(SEARCH("max",M17)))</formula>
    </cfRule>
  </conditionalFormatting>
  <conditionalFormatting sqref="H34">
    <cfRule type="containsText" dxfId="247" priority="661" operator="containsText" text="Max">
      <formula>NOT(ISERROR(SEARCH("Max",H34)))</formula>
    </cfRule>
    <cfRule type="containsText" dxfId="246" priority="662" operator="containsText" text="Min">
      <formula>NOT(ISERROR(SEARCH("Min",H34)))</formula>
    </cfRule>
    <cfRule type="containsText" dxfId="245" priority="663" operator="containsText" text="Specify ">
      <formula>NOT(ISERROR(SEARCH("Specify ",H34)))</formula>
    </cfRule>
  </conditionalFormatting>
  <conditionalFormatting sqref="G19:O19">
    <cfRule type="containsText" dxfId="244" priority="487" operator="containsText" text="Max">
      <formula>NOT(ISERROR(SEARCH("Max",G19)))</formula>
    </cfRule>
    <cfRule type="containsText" dxfId="243" priority="488" operator="containsText" text="Min">
      <formula>NOT(ISERROR(SEARCH("Min",G19)))</formula>
    </cfRule>
    <cfRule type="containsText" dxfId="242" priority="489" operator="containsText" text="Specify ">
      <formula>NOT(ISERROR(SEARCH("Specify ",G19)))</formula>
    </cfRule>
  </conditionalFormatting>
  <conditionalFormatting sqref="G21:O21">
    <cfRule type="containsText" dxfId="241" priority="484" operator="containsText" text="Max">
      <formula>NOT(ISERROR(SEARCH("Max",G21)))</formula>
    </cfRule>
    <cfRule type="containsText" dxfId="240" priority="485" operator="containsText" text="Min">
      <formula>NOT(ISERROR(SEARCH("Min",G21)))</formula>
    </cfRule>
    <cfRule type="containsText" dxfId="239" priority="486" operator="containsText" text="Specify ">
      <formula>NOT(ISERROR(SEARCH("Specify ",G21)))</formula>
    </cfRule>
  </conditionalFormatting>
  <conditionalFormatting sqref="G44:O44">
    <cfRule type="containsText" dxfId="238" priority="481" operator="containsText" text="Max">
      <formula>NOT(ISERROR(SEARCH("Max",G44)))</formula>
    </cfRule>
    <cfRule type="containsText" dxfId="237" priority="482" operator="containsText" text="Min">
      <formula>NOT(ISERROR(SEARCH("Min",G44)))</formula>
    </cfRule>
    <cfRule type="containsText" dxfId="236" priority="483" operator="containsText" text="Specify ">
      <formula>NOT(ISERROR(SEARCH("Specify ",G44)))</formula>
    </cfRule>
  </conditionalFormatting>
  <conditionalFormatting sqref="J34 L34">
    <cfRule type="containsText" dxfId="235" priority="343" operator="containsText" text="Max">
      <formula>NOT(ISERROR(SEARCH("Max",J34)))</formula>
    </cfRule>
    <cfRule type="containsText" dxfId="234" priority="344" operator="containsText" text="Min">
      <formula>NOT(ISERROR(SEARCH("Min",J34)))</formula>
    </cfRule>
    <cfRule type="containsText" dxfId="233" priority="345" operator="containsText" text="Specify ">
      <formula>NOT(ISERROR(SEARCH("Specify ",J34)))</formula>
    </cfRule>
  </conditionalFormatting>
  <conditionalFormatting sqref="K34">
    <cfRule type="containsText" dxfId="232" priority="340" operator="containsText" text="Max">
      <formula>NOT(ISERROR(SEARCH("Max",K34)))</formula>
    </cfRule>
    <cfRule type="containsText" dxfId="231" priority="341" operator="containsText" text="Min">
      <formula>NOT(ISERROR(SEARCH("Min",K34)))</formula>
    </cfRule>
    <cfRule type="containsText" dxfId="230" priority="342" operator="containsText" text="Specify ">
      <formula>NOT(ISERROR(SEARCH("Specify ",K34)))</formula>
    </cfRule>
  </conditionalFormatting>
  <conditionalFormatting sqref="M34 O34">
    <cfRule type="containsText" dxfId="229" priority="337" operator="containsText" text="Max">
      <formula>NOT(ISERROR(SEARCH("Max",M34)))</formula>
    </cfRule>
    <cfRule type="containsText" dxfId="228" priority="338" operator="containsText" text="Min">
      <formula>NOT(ISERROR(SEARCH("Min",M34)))</formula>
    </cfRule>
    <cfRule type="containsText" dxfId="227" priority="339" operator="containsText" text="Specify ">
      <formula>NOT(ISERROR(SEARCH("Specify ",M34)))</formula>
    </cfRule>
  </conditionalFormatting>
  <conditionalFormatting sqref="N34">
    <cfRule type="containsText" dxfId="226" priority="334" operator="containsText" text="Max">
      <formula>NOT(ISERROR(SEARCH("Max",N34)))</formula>
    </cfRule>
    <cfRule type="containsText" dxfId="225" priority="335" operator="containsText" text="Min">
      <formula>NOT(ISERROR(SEARCH("Min",N34)))</formula>
    </cfRule>
    <cfRule type="containsText" dxfId="224" priority="336" operator="containsText" text="Specify ">
      <formula>NOT(ISERROR(SEARCH("Specify ",N34)))</formula>
    </cfRule>
  </conditionalFormatting>
  <conditionalFormatting sqref="G36 I36">
    <cfRule type="containsText" dxfId="223" priority="331" operator="containsText" text="Max">
      <formula>NOT(ISERROR(SEARCH("Max",G36)))</formula>
    </cfRule>
    <cfRule type="containsText" dxfId="222" priority="332" operator="containsText" text="Min">
      <formula>NOT(ISERROR(SEARCH("Min",G36)))</formula>
    </cfRule>
    <cfRule type="containsText" dxfId="221" priority="333" operator="containsText" text="Specify ">
      <formula>NOT(ISERROR(SEARCH("Specify ",G36)))</formula>
    </cfRule>
  </conditionalFormatting>
  <conditionalFormatting sqref="H36">
    <cfRule type="containsText" dxfId="220" priority="328" operator="containsText" text="Max">
      <formula>NOT(ISERROR(SEARCH("Max",H36)))</formula>
    </cfRule>
    <cfRule type="containsText" dxfId="219" priority="329" operator="containsText" text="Min">
      <formula>NOT(ISERROR(SEARCH("Min",H36)))</formula>
    </cfRule>
    <cfRule type="containsText" dxfId="218" priority="330" operator="containsText" text="Specify ">
      <formula>NOT(ISERROR(SEARCH("Specify ",H36)))</formula>
    </cfRule>
  </conditionalFormatting>
  <conditionalFormatting sqref="J36 L36">
    <cfRule type="containsText" dxfId="217" priority="325" operator="containsText" text="Max">
      <formula>NOT(ISERROR(SEARCH("Max",J36)))</formula>
    </cfRule>
    <cfRule type="containsText" dxfId="216" priority="326" operator="containsText" text="Min">
      <formula>NOT(ISERROR(SEARCH("Min",J36)))</formula>
    </cfRule>
    <cfRule type="containsText" dxfId="215" priority="327" operator="containsText" text="Specify ">
      <formula>NOT(ISERROR(SEARCH("Specify ",J36)))</formula>
    </cfRule>
  </conditionalFormatting>
  <conditionalFormatting sqref="K36">
    <cfRule type="containsText" dxfId="214" priority="322" operator="containsText" text="Max">
      <formula>NOT(ISERROR(SEARCH("Max",K36)))</formula>
    </cfRule>
    <cfRule type="containsText" dxfId="213" priority="323" operator="containsText" text="Min">
      <formula>NOT(ISERROR(SEARCH("Min",K36)))</formula>
    </cfRule>
    <cfRule type="containsText" dxfId="212" priority="324" operator="containsText" text="Specify ">
      <formula>NOT(ISERROR(SEARCH("Specify ",K36)))</formula>
    </cfRule>
  </conditionalFormatting>
  <conditionalFormatting sqref="M36 O36">
    <cfRule type="containsText" dxfId="211" priority="319" operator="containsText" text="Max">
      <formula>NOT(ISERROR(SEARCH("Max",M36)))</formula>
    </cfRule>
    <cfRule type="containsText" dxfId="210" priority="320" operator="containsText" text="Min">
      <formula>NOT(ISERROR(SEARCH("Min",M36)))</formula>
    </cfRule>
    <cfRule type="containsText" dxfId="209" priority="321" operator="containsText" text="Specify ">
      <formula>NOT(ISERROR(SEARCH("Specify ",M36)))</formula>
    </cfRule>
  </conditionalFormatting>
  <conditionalFormatting sqref="N36">
    <cfRule type="containsText" dxfId="208" priority="316" operator="containsText" text="Max">
      <formula>NOT(ISERROR(SEARCH("Max",N36)))</formula>
    </cfRule>
    <cfRule type="containsText" dxfId="207" priority="317" operator="containsText" text="Min">
      <formula>NOT(ISERROR(SEARCH("Min",N36)))</formula>
    </cfRule>
    <cfRule type="containsText" dxfId="206" priority="318" operator="containsText" text="Specify ">
      <formula>NOT(ISERROR(SEARCH("Specify ",N36)))</formula>
    </cfRule>
  </conditionalFormatting>
  <conditionalFormatting sqref="G39:O39">
    <cfRule type="containsText" dxfId="205" priority="313" operator="containsText" text="Max">
      <formula>NOT(ISERROR(SEARCH("Max",G39)))</formula>
    </cfRule>
    <cfRule type="containsText" dxfId="204" priority="314" operator="containsText" text="Min">
      <formula>NOT(ISERROR(SEARCH("Min",G39)))</formula>
    </cfRule>
    <cfRule type="containsText" dxfId="203" priority="315" operator="containsText" text="Specify ">
      <formula>NOT(ISERROR(SEARCH("Specify ",G39)))</formula>
    </cfRule>
  </conditionalFormatting>
  <conditionalFormatting sqref="H40">
    <cfRule type="containsText" dxfId="202" priority="292" operator="containsText" text="Max">
      <formula>NOT(ISERROR(SEARCH("Max",H40)))</formula>
    </cfRule>
    <cfRule type="containsText" dxfId="201" priority="293" operator="containsText" text="Min">
      <formula>NOT(ISERROR(SEARCH("Min",H40)))</formula>
    </cfRule>
    <cfRule type="containsText" dxfId="200" priority="294" operator="containsText" text="Specify ">
      <formula>NOT(ISERROR(SEARCH("Specify ",H40)))</formula>
    </cfRule>
  </conditionalFormatting>
  <conditionalFormatting sqref="J40 L40">
    <cfRule type="containsText" dxfId="199" priority="289" operator="containsText" text="Max">
      <formula>NOT(ISERROR(SEARCH("Max",J40)))</formula>
    </cfRule>
    <cfRule type="containsText" dxfId="198" priority="290" operator="containsText" text="Min">
      <formula>NOT(ISERROR(SEARCH("Min",J40)))</formula>
    </cfRule>
    <cfRule type="containsText" dxfId="197" priority="291" operator="containsText" text="Specify ">
      <formula>NOT(ISERROR(SEARCH("Specify ",J40)))</formula>
    </cfRule>
  </conditionalFormatting>
  <conditionalFormatting sqref="K40">
    <cfRule type="containsText" dxfId="196" priority="286" operator="containsText" text="Max">
      <formula>NOT(ISERROR(SEARCH("Max",K40)))</formula>
    </cfRule>
    <cfRule type="containsText" dxfId="195" priority="287" operator="containsText" text="Min">
      <formula>NOT(ISERROR(SEARCH("Min",K40)))</formula>
    </cfRule>
    <cfRule type="containsText" dxfId="194" priority="288" operator="containsText" text="Specify ">
      <formula>NOT(ISERROR(SEARCH("Specify ",K40)))</formula>
    </cfRule>
  </conditionalFormatting>
  <conditionalFormatting sqref="M40 O40">
    <cfRule type="containsText" dxfId="193" priority="283" operator="containsText" text="Max">
      <formula>NOT(ISERROR(SEARCH("Max",M40)))</formula>
    </cfRule>
    <cfRule type="containsText" dxfId="192" priority="284" operator="containsText" text="Min">
      <formula>NOT(ISERROR(SEARCH("Min",M40)))</formula>
    </cfRule>
    <cfRule type="containsText" dxfId="191" priority="285" operator="containsText" text="Specify ">
      <formula>NOT(ISERROR(SEARCH("Specify ",M40)))</formula>
    </cfRule>
  </conditionalFormatting>
  <conditionalFormatting sqref="N40">
    <cfRule type="containsText" dxfId="190" priority="280" operator="containsText" text="Max">
      <formula>NOT(ISERROR(SEARCH("Max",N40)))</formula>
    </cfRule>
    <cfRule type="containsText" dxfId="189" priority="281" operator="containsText" text="Min">
      <formula>NOT(ISERROR(SEARCH("Min",N40)))</formula>
    </cfRule>
    <cfRule type="containsText" dxfId="188" priority="282" operator="containsText" text="Specify ">
      <formula>NOT(ISERROR(SEARCH("Specify ",N40)))</formula>
    </cfRule>
  </conditionalFormatting>
  <conditionalFormatting sqref="G40 I40">
    <cfRule type="containsText" dxfId="187" priority="295" operator="containsText" text="Max">
      <formula>NOT(ISERROR(SEARCH("Max",G40)))</formula>
    </cfRule>
    <cfRule type="containsText" dxfId="186" priority="296" operator="containsText" text="Min">
      <formula>NOT(ISERROR(SEARCH("Min",G40)))</formula>
    </cfRule>
    <cfRule type="containsText" dxfId="185" priority="297" operator="containsText" text="Specify ">
      <formula>NOT(ISERROR(SEARCH("Specify ",G40)))</formula>
    </cfRule>
  </conditionalFormatting>
  <conditionalFormatting sqref="G45 I45 G46:O46 G48:O48">
    <cfRule type="containsText" dxfId="184" priority="277" operator="containsText" text="Max">
      <formula>NOT(ISERROR(SEARCH("Max",G45)))</formula>
    </cfRule>
    <cfRule type="containsText" dxfId="183" priority="278" operator="containsText" text="Min">
      <formula>NOT(ISERROR(SEARCH("Min",G45)))</formula>
    </cfRule>
    <cfRule type="containsText" dxfId="182" priority="279" operator="containsText" text="Specify ">
      <formula>NOT(ISERROR(SEARCH("Specify ",G45)))</formula>
    </cfRule>
  </conditionalFormatting>
  <conditionalFormatting sqref="H45">
    <cfRule type="containsText" dxfId="181" priority="274" operator="containsText" text="Max">
      <formula>NOT(ISERROR(SEARCH("Max",H45)))</formula>
    </cfRule>
    <cfRule type="containsText" dxfId="180" priority="275" operator="containsText" text="Min">
      <formula>NOT(ISERROR(SEARCH("Min",H45)))</formula>
    </cfRule>
    <cfRule type="containsText" dxfId="179" priority="276" operator="containsText" text="Specify ">
      <formula>NOT(ISERROR(SEARCH("Specify ",H45)))</formula>
    </cfRule>
  </conditionalFormatting>
  <conditionalFormatting sqref="J45 L45">
    <cfRule type="containsText" dxfId="178" priority="271" operator="containsText" text="Max">
      <formula>NOT(ISERROR(SEARCH("Max",J45)))</formula>
    </cfRule>
    <cfRule type="containsText" dxfId="177" priority="272" operator="containsText" text="Min">
      <formula>NOT(ISERROR(SEARCH("Min",J45)))</formula>
    </cfRule>
    <cfRule type="containsText" dxfId="176" priority="273" operator="containsText" text="Specify ">
      <formula>NOT(ISERROR(SEARCH("Specify ",J45)))</formula>
    </cfRule>
  </conditionalFormatting>
  <conditionalFormatting sqref="K45">
    <cfRule type="containsText" dxfId="175" priority="268" operator="containsText" text="Max">
      <formula>NOT(ISERROR(SEARCH("Max",K45)))</formula>
    </cfRule>
    <cfRule type="containsText" dxfId="174" priority="269" operator="containsText" text="Min">
      <formula>NOT(ISERROR(SEARCH("Min",K45)))</formula>
    </cfRule>
    <cfRule type="containsText" dxfId="173" priority="270" operator="containsText" text="Specify ">
      <formula>NOT(ISERROR(SEARCH("Specify ",K45)))</formula>
    </cfRule>
  </conditionalFormatting>
  <conditionalFormatting sqref="M45 O45">
    <cfRule type="containsText" dxfId="172" priority="265" operator="containsText" text="Max">
      <formula>NOT(ISERROR(SEARCH("Max",M45)))</formula>
    </cfRule>
    <cfRule type="containsText" dxfId="171" priority="266" operator="containsText" text="Min">
      <formula>NOT(ISERROR(SEARCH("Min",M45)))</formula>
    </cfRule>
    <cfRule type="containsText" dxfId="170" priority="267" operator="containsText" text="Specify ">
      <formula>NOT(ISERROR(SEARCH("Specify ",M45)))</formula>
    </cfRule>
  </conditionalFormatting>
  <conditionalFormatting sqref="N45">
    <cfRule type="containsText" dxfId="169" priority="262" operator="containsText" text="Max">
      <formula>NOT(ISERROR(SEARCH("Max",N45)))</formula>
    </cfRule>
    <cfRule type="containsText" dxfId="168" priority="263" operator="containsText" text="Min">
      <formula>NOT(ISERROR(SEARCH("Min",N45)))</formula>
    </cfRule>
    <cfRule type="containsText" dxfId="167" priority="264" operator="containsText" text="Specify ">
      <formula>NOT(ISERROR(SEARCH("Specify ",N45)))</formula>
    </cfRule>
  </conditionalFormatting>
  <conditionalFormatting sqref="G47 I47">
    <cfRule type="containsText" dxfId="166" priority="259" operator="containsText" text="Max">
      <formula>NOT(ISERROR(SEARCH("Max",G47)))</formula>
    </cfRule>
    <cfRule type="containsText" dxfId="165" priority="260" operator="containsText" text="Min">
      <formula>NOT(ISERROR(SEARCH("Min",G47)))</formula>
    </cfRule>
    <cfRule type="containsText" dxfId="164" priority="261" operator="containsText" text="Specify ">
      <formula>NOT(ISERROR(SEARCH("Specify ",G47)))</formula>
    </cfRule>
  </conditionalFormatting>
  <conditionalFormatting sqref="H47">
    <cfRule type="containsText" dxfId="163" priority="256" operator="containsText" text="Max">
      <formula>NOT(ISERROR(SEARCH("Max",H47)))</formula>
    </cfRule>
    <cfRule type="containsText" dxfId="162" priority="257" operator="containsText" text="Min">
      <formula>NOT(ISERROR(SEARCH("Min",H47)))</formula>
    </cfRule>
    <cfRule type="containsText" dxfId="161" priority="258" operator="containsText" text="Specify ">
      <formula>NOT(ISERROR(SEARCH("Specify ",H47)))</formula>
    </cfRule>
  </conditionalFormatting>
  <conditionalFormatting sqref="J47 L47">
    <cfRule type="containsText" dxfId="160" priority="253" operator="containsText" text="Max">
      <formula>NOT(ISERROR(SEARCH("Max",J47)))</formula>
    </cfRule>
    <cfRule type="containsText" dxfId="159" priority="254" operator="containsText" text="Min">
      <formula>NOT(ISERROR(SEARCH("Min",J47)))</formula>
    </cfRule>
    <cfRule type="containsText" dxfId="158" priority="255" operator="containsText" text="Specify ">
      <formula>NOT(ISERROR(SEARCH("Specify ",J47)))</formula>
    </cfRule>
  </conditionalFormatting>
  <conditionalFormatting sqref="K47">
    <cfRule type="containsText" dxfId="157" priority="250" operator="containsText" text="Max">
      <formula>NOT(ISERROR(SEARCH("Max",K47)))</formula>
    </cfRule>
    <cfRule type="containsText" dxfId="156" priority="251" operator="containsText" text="Min">
      <formula>NOT(ISERROR(SEARCH("Min",K47)))</formula>
    </cfRule>
    <cfRule type="containsText" dxfId="155" priority="252" operator="containsText" text="Specify ">
      <formula>NOT(ISERROR(SEARCH("Specify ",K47)))</formula>
    </cfRule>
  </conditionalFormatting>
  <conditionalFormatting sqref="M47 O47">
    <cfRule type="containsText" dxfId="154" priority="247" operator="containsText" text="Max">
      <formula>NOT(ISERROR(SEARCH("Max",M47)))</formula>
    </cfRule>
    <cfRule type="containsText" dxfId="153" priority="248" operator="containsText" text="Min">
      <formula>NOT(ISERROR(SEARCH("Min",M47)))</formula>
    </cfRule>
    <cfRule type="containsText" dxfId="152" priority="249" operator="containsText" text="Specify ">
      <formula>NOT(ISERROR(SEARCH("Specify ",M47)))</formula>
    </cfRule>
  </conditionalFormatting>
  <conditionalFormatting sqref="N47">
    <cfRule type="containsText" dxfId="151" priority="244" operator="containsText" text="Max">
      <formula>NOT(ISERROR(SEARCH("Max",N47)))</formula>
    </cfRule>
    <cfRule type="containsText" dxfId="150" priority="245" operator="containsText" text="Min">
      <formula>NOT(ISERROR(SEARCH("Min",N47)))</formula>
    </cfRule>
    <cfRule type="containsText" dxfId="149" priority="246" operator="containsText" text="Specify ">
      <formula>NOT(ISERROR(SEARCH("Specify ",N47)))</formula>
    </cfRule>
  </conditionalFormatting>
  <conditionalFormatting sqref="G49 I49 G50:O50">
    <cfRule type="containsText" dxfId="148" priority="241" operator="containsText" text="Max">
      <formula>NOT(ISERROR(SEARCH("Max",G49)))</formula>
    </cfRule>
    <cfRule type="containsText" dxfId="147" priority="242" operator="containsText" text="Min">
      <formula>NOT(ISERROR(SEARCH("Min",G49)))</formula>
    </cfRule>
    <cfRule type="containsText" dxfId="146" priority="243" operator="containsText" text="Specify ">
      <formula>NOT(ISERROR(SEARCH("Specify ",G49)))</formula>
    </cfRule>
  </conditionalFormatting>
  <conditionalFormatting sqref="H49">
    <cfRule type="containsText" dxfId="145" priority="238" operator="containsText" text="Max">
      <formula>NOT(ISERROR(SEARCH("Max",H49)))</formula>
    </cfRule>
    <cfRule type="containsText" dxfId="144" priority="239" operator="containsText" text="Min">
      <formula>NOT(ISERROR(SEARCH("Min",H49)))</formula>
    </cfRule>
    <cfRule type="containsText" dxfId="143" priority="240" operator="containsText" text="Specify ">
      <formula>NOT(ISERROR(SEARCH("Specify ",H49)))</formula>
    </cfRule>
  </conditionalFormatting>
  <conditionalFormatting sqref="J49 L49">
    <cfRule type="containsText" dxfId="142" priority="235" operator="containsText" text="Max">
      <formula>NOT(ISERROR(SEARCH("Max",J49)))</formula>
    </cfRule>
    <cfRule type="containsText" dxfId="141" priority="236" operator="containsText" text="Min">
      <formula>NOT(ISERROR(SEARCH("Min",J49)))</formula>
    </cfRule>
    <cfRule type="containsText" dxfId="140" priority="237" operator="containsText" text="Specify ">
      <formula>NOT(ISERROR(SEARCH("Specify ",J49)))</formula>
    </cfRule>
  </conditionalFormatting>
  <conditionalFormatting sqref="K49">
    <cfRule type="containsText" dxfId="139" priority="232" operator="containsText" text="Max">
      <formula>NOT(ISERROR(SEARCH("Max",K49)))</formula>
    </cfRule>
    <cfRule type="containsText" dxfId="138" priority="233" operator="containsText" text="Min">
      <formula>NOT(ISERROR(SEARCH("Min",K49)))</formula>
    </cfRule>
    <cfRule type="containsText" dxfId="137" priority="234" operator="containsText" text="Specify ">
      <formula>NOT(ISERROR(SEARCH("Specify ",K49)))</formula>
    </cfRule>
  </conditionalFormatting>
  <conditionalFormatting sqref="M49 O49">
    <cfRule type="containsText" dxfId="136" priority="229" operator="containsText" text="Max">
      <formula>NOT(ISERROR(SEARCH("Max",M49)))</formula>
    </cfRule>
    <cfRule type="containsText" dxfId="135" priority="230" operator="containsText" text="Min">
      <formula>NOT(ISERROR(SEARCH("Min",M49)))</formula>
    </cfRule>
    <cfRule type="containsText" dxfId="134" priority="231" operator="containsText" text="Specify ">
      <formula>NOT(ISERROR(SEARCH("Specify ",M49)))</formula>
    </cfRule>
  </conditionalFormatting>
  <conditionalFormatting sqref="N49">
    <cfRule type="containsText" dxfId="133" priority="226" operator="containsText" text="Max">
      <formula>NOT(ISERROR(SEARCH("Max",N49)))</formula>
    </cfRule>
    <cfRule type="containsText" dxfId="132" priority="227" operator="containsText" text="Min">
      <formula>NOT(ISERROR(SEARCH("Min",N49)))</formula>
    </cfRule>
    <cfRule type="containsText" dxfId="131" priority="228" operator="containsText" text="Specify ">
      <formula>NOT(ISERROR(SEARCH("Specify ",N49)))</formula>
    </cfRule>
  </conditionalFormatting>
  <conditionalFormatting sqref="G51 I51">
    <cfRule type="containsText" dxfId="130" priority="223" operator="containsText" text="Max">
      <formula>NOT(ISERROR(SEARCH("Max",G51)))</formula>
    </cfRule>
    <cfRule type="containsText" dxfId="129" priority="224" operator="containsText" text="Min">
      <formula>NOT(ISERROR(SEARCH("Min",G51)))</formula>
    </cfRule>
    <cfRule type="containsText" dxfId="128" priority="225" operator="containsText" text="Specify ">
      <formula>NOT(ISERROR(SEARCH("Specify ",G51)))</formula>
    </cfRule>
  </conditionalFormatting>
  <conditionalFormatting sqref="H51">
    <cfRule type="containsText" dxfId="127" priority="220" operator="containsText" text="Max">
      <formula>NOT(ISERROR(SEARCH("Max",H51)))</formula>
    </cfRule>
    <cfRule type="containsText" dxfId="126" priority="221" operator="containsText" text="Min">
      <formula>NOT(ISERROR(SEARCH("Min",H51)))</formula>
    </cfRule>
    <cfRule type="containsText" dxfId="125" priority="222" operator="containsText" text="Specify ">
      <formula>NOT(ISERROR(SEARCH("Specify ",H51)))</formula>
    </cfRule>
  </conditionalFormatting>
  <conditionalFormatting sqref="J51 L51">
    <cfRule type="containsText" dxfId="124" priority="217" operator="containsText" text="Max">
      <formula>NOT(ISERROR(SEARCH("Max",J51)))</formula>
    </cfRule>
    <cfRule type="containsText" dxfId="123" priority="218" operator="containsText" text="Min">
      <formula>NOT(ISERROR(SEARCH("Min",J51)))</formula>
    </cfRule>
    <cfRule type="containsText" dxfId="122" priority="219" operator="containsText" text="Specify ">
      <formula>NOT(ISERROR(SEARCH("Specify ",J51)))</formula>
    </cfRule>
  </conditionalFormatting>
  <conditionalFormatting sqref="K51">
    <cfRule type="containsText" dxfId="121" priority="214" operator="containsText" text="Max">
      <formula>NOT(ISERROR(SEARCH("Max",K51)))</formula>
    </cfRule>
    <cfRule type="containsText" dxfId="120" priority="215" operator="containsText" text="Min">
      <formula>NOT(ISERROR(SEARCH("Min",K51)))</formula>
    </cfRule>
    <cfRule type="containsText" dxfId="119" priority="216" operator="containsText" text="Specify ">
      <formula>NOT(ISERROR(SEARCH("Specify ",K51)))</formula>
    </cfRule>
  </conditionalFormatting>
  <conditionalFormatting sqref="M51 O51">
    <cfRule type="containsText" dxfId="118" priority="211" operator="containsText" text="Max">
      <formula>NOT(ISERROR(SEARCH("Max",M51)))</formula>
    </cfRule>
    <cfRule type="containsText" dxfId="117" priority="212" operator="containsText" text="Min">
      <formula>NOT(ISERROR(SEARCH("Min",M51)))</formula>
    </cfRule>
    <cfRule type="containsText" dxfId="116" priority="213" operator="containsText" text="Specify ">
      <formula>NOT(ISERROR(SEARCH("Specify ",M51)))</formula>
    </cfRule>
  </conditionalFormatting>
  <conditionalFormatting sqref="N51">
    <cfRule type="containsText" dxfId="115" priority="208" operator="containsText" text="Max">
      <formula>NOT(ISERROR(SEARCH("Max",N51)))</formula>
    </cfRule>
    <cfRule type="containsText" dxfId="114" priority="209" operator="containsText" text="Min">
      <formula>NOT(ISERROR(SEARCH("Min",N51)))</formula>
    </cfRule>
    <cfRule type="containsText" dxfId="113" priority="210" operator="containsText" text="Specify ">
      <formula>NOT(ISERROR(SEARCH("Specify ",N51)))</formula>
    </cfRule>
  </conditionalFormatting>
  <conditionalFormatting sqref="G55:O55">
    <cfRule type="containsText" dxfId="112" priority="166" operator="containsText" text="Max">
      <formula>NOT(ISERROR(SEARCH("Max",G55)))</formula>
    </cfRule>
    <cfRule type="containsText" dxfId="111" priority="167" operator="containsText" text="Min">
      <formula>NOT(ISERROR(SEARCH("Min",G55)))</formula>
    </cfRule>
    <cfRule type="containsText" dxfId="110" priority="168" operator="containsText" text="Specify ">
      <formula>NOT(ISERROR(SEARCH("Specify ",G55)))</formula>
    </cfRule>
  </conditionalFormatting>
  <conditionalFormatting sqref="G56 I56 G57:O57 G59:O59">
    <cfRule type="containsText" dxfId="109" priority="163" operator="containsText" text="Max">
      <formula>NOT(ISERROR(SEARCH("Max",G56)))</formula>
    </cfRule>
    <cfRule type="containsText" dxfId="108" priority="164" operator="containsText" text="Min">
      <formula>NOT(ISERROR(SEARCH("Min",G56)))</formula>
    </cfRule>
    <cfRule type="containsText" dxfId="107" priority="165" operator="containsText" text="Specify ">
      <formula>NOT(ISERROR(SEARCH("Specify ",G56)))</formula>
    </cfRule>
  </conditionalFormatting>
  <conditionalFormatting sqref="H56">
    <cfRule type="containsText" dxfId="106" priority="160" operator="containsText" text="Max">
      <formula>NOT(ISERROR(SEARCH("Max",H56)))</formula>
    </cfRule>
    <cfRule type="containsText" dxfId="105" priority="161" operator="containsText" text="Min">
      <formula>NOT(ISERROR(SEARCH("Min",H56)))</formula>
    </cfRule>
    <cfRule type="containsText" dxfId="104" priority="162" operator="containsText" text="Specify ">
      <formula>NOT(ISERROR(SEARCH("Specify ",H56)))</formula>
    </cfRule>
  </conditionalFormatting>
  <conditionalFormatting sqref="J56 L56">
    <cfRule type="containsText" dxfId="103" priority="157" operator="containsText" text="Max">
      <formula>NOT(ISERROR(SEARCH("Max",J56)))</formula>
    </cfRule>
    <cfRule type="containsText" dxfId="102" priority="158" operator="containsText" text="Min">
      <formula>NOT(ISERROR(SEARCH("Min",J56)))</formula>
    </cfRule>
    <cfRule type="containsText" dxfId="101" priority="159" operator="containsText" text="Specify ">
      <formula>NOT(ISERROR(SEARCH("Specify ",J56)))</formula>
    </cfRule>
  </conditionalFormatting>
  <conditionalFormatting sqref="K56">
    <cfRule type="containsText" dxfId="100" priority="154" operator="containsText" text="Max">
      <formula>NOT(ISERROR(SEARCH("Max",K56)))</formula>
    </cfRule>
    <cfRule type="containsText" dxfId="99" priority="155" operator="containsText" text="Min">
      <formula>NOT(ISERROR(SEARCH("Min",K56)))</formula>
    </cfRule>
    <cfRule type="containsText" dxfId="98" priority="156" operator="containsText" text="Specify ">
      <formula>NOT(ISERROR(SEARCH("Specify ",K56)))</formula>
    </cfRule>
  </conditionalFormatting>
  <conditionalFormatting sqref="M56 O56">
    <cfRule type="containsText" dxfId="97" priority="151" operator="containsText" text="Max">
      <formula>NOT(ISERROR(SEARCH("Max",M56)))</formula>
    </cfRule>
    <cfRule type="containsText" dxfId="96" priority="152" operator="containsText" text="Min">
      <formula>NOT(ISERROR(SEARCH("Min",M56)))</formula>
    </cfRule>
    <cfRule type="containsText" dxfId="95" priority="153" operator="containsText" text="Specify ">
      <formula>NOT(ISERROR(SEARCH("Specify ",M56)))</formula>
    </cfRule>
  </conditionalFormatting>
  <conditionalFormatting sqref="N56">
    <cfRule type="containsText" dxfId="94" priority="148" operator="containsText" text="Max">
      <formula>NOT(ISERROR(SEARCH("Max",N56)))</formula>
    </cfRule>
    <cfRule type="containsText" dxfId="93" priority="149" operator="containsText" text="Min">
      <formula>NOT(ISERROR(SEARCH("Min",N56)))</formula>
    </cfRule>
    <cfRule type="containsText" dxfId="92" priority="150" operator="containsText" text="Specify ">
      <formula>NOT(ISERROR(SEARCH("Specify ",N56)))</formula>
    </cfRule>
  </conditionalFormatting>
  <conditionalFormatting sqref="G58 I58">
    <cfRule type="containsText" dxfId="91" priority="145" operator="containsText" text="Max">
      <formula>NOT(ISERROR(SEARCH("Max",G58)))</formula>
    </cfRule>
    <cfRule type="containsText" dxfId="90" priority="146" operator="containsText" text="Min">
      <formula>NOT(ISERROR(SEARCH("Min",G58)))</formula>
    </cfRule>
    <cfRule type="containsText" dxfId="89" priority="147" operator="containsText" text="Specify ">
      <formula>NOT(ISERROR(SEARCH("Specify ",G58)))</formula>
    </cfRule>
  </conditionalFormatting>
  <conditionalFormatting sqref="H58">
    <cfRule type="containsText" dxfId="88" priority="142" operator="containsText" text="Max">
      <formula>NOT(ISERROR(SEARCH("Max",H58)))</formula>
    </cfRule>
    <cfRule type="containsText" dxfId="87" priority="143" operator="containsText" text="Min">
      <formula>NOT(ISERROR(SEARCH("Min",H58)))</formula>
    </cfRule>
    <cfRule type="containsText" dxfId="86" priority="144" operator="containsText" text="Specify ">
      <formula>NOT(ISERROR(SEARCH("Specify ",H58)))</formula>
    </cfRule>
  </conditionalFormatting>
  <conditionalFormatting sqref="J58 L58">
    <cfRule type="containsText" dxfId="85" priority="139" operator="containsText" text="Max">
      <formula>NOT(ISERROR(SEARCH("Max",J58)))</formula>
    </cfRule>
    <cfRule type="containsText" dxfId="84" priority="140" operator="containsText" text="Min">
      <formula>NOT(ISERROR(SEARCH("Min",J58)))</formula>
    </cfRule>
    <cfRule type="containsText" dxfId="83" priority="141" operator="containsText" text="Specify ">
      <formula>NOT(ISERROR(SEARCH("Specify ",J58)))</formula>
    </cfRule>
  </conditionalFormatting>
  <conditionalFormatting sqref="K58">
    <cfRule type="containsText" dxfId="82" priority="136" operator="containsText" text="Max">
      <formula>NOT(ISERROR(SEARCH("Max",K58)))</formula>
    </cfRule>
    <cfRule type="containsText" dxfId="81" priority="137" operator="containsText" text="Min">
      <formula>NOT(ISERROR(SEARCH("Min",K58)))</formula>
    </cfRule>
    <cfRule type="containsText" dxfId="80" priority="138" operator="containsText" text="Specify ">
      <formula>NOT(ISERROR(SEARCH("Specify ",K58)))</formula>
    </cfRule>
  </conditionalFormatting>
  <conditionalFormatting sqref="M58 O58">
    <cfRule type="containsText" dxfId="79" priority="133" operator="containsText" text="Max">
      <formula>NOT(ISERROR(SEARCH("Max",M58)))</formula>
    </cfRule>
    <cfRule type="containsText" dxfId="78" priority="134" operator="containsText" text="Min">
      <formula>NOT(ISERROR(SEARCH("Min",M58)))</formula>
    </cfRule>
    <cfRule type="containsText" dxfId="77" priority="135" operator="containsText" text="Specify ">
      <formula>NOT(ISERROR(SEARCH("Specify ",M58)))</formula>
    </cfRule>
  </conditionalFormatting>
  <conditionalFormatting sqref="N58">
    <cfRule type="containsText" dxfId="76" priority="130" operator="containsText" text="Max">
      <formula>NOT(ISERROR(SEARCH("Max",N58)))</formula>
    </cfRule>
    <cfRule type="containsText" dxfId="75" priority="131" operator="containsText" text="Min">
      <formula>NOT(ISERROR(SEARCH("Min",N58)))</formula>
    </cfRule>
    <cfRule type="containsText" dxfId="74" priority="132" operator="containsText" text="Specify ">
      <formula>NOT(ISERROR(SEARCH("Specify ",N58)))</formula>
    </cfRule>
  </conditionalFormatting>
  <conditionalFormatting sqref="G60 I60 G61:O61">
    <cfRule type="containsText" dxfId="73" priority="127" operator="containsText" text="Max">
      <formula>NOT(ISERROR(SEARCH("Max",G60)))</formula>
    </cfRule>
    <cfRule type="containsText" dxfId="72" priority="128" operator="containsText" text="Min">
      <formula>NOT(ISERROR(SEARCH("Min",G60)))</formula>
    </cfRule>
    <cfRule type="containsText" dxfId="71" priority="129" operator="containsText" text="Specify ">
      <formula>NOT(ISERROR(SEARCH("Specify ",G60)))</formula>
    </cfRule>
  </conditionalFormatting>
  <conditionalFormatting sqref="H60">
    <cfRule type="containsText" dxfId="70" priority="124" operator="containsText" text="Max">
      <formula>NOT(ISERROR(SEARCH("Max",H60)))</formula>
    </cfRule>
    <cfRule type="containsText" dxfId="69" priority="125" operator="containsText" text="Min">
      <formula>NOT(ISERROR(SEARCH("Min",H60)))</formula>
    </cfRule>
    <cfRule type="containsText" dxfId="68" priority="126" operator="containsText" text="Specify ">
      <formula>NOT(ISERROR(SEARCH("Specify ",H60)))</formula>
    </cfRule>
  </conditionalFormatting>
  <conditionalFormatting sqref="J60 L60">
    <cfRule type="containsText" dxfId="67" priority="121" operator="containsText" text="Max">
      <formula>NOT(ISERROR(SEARCH("Max",J60)))</formula>
    </cfRule>
    <cfRule type="containsText" dxfId="66" priority="122" operator="containsText" text="Min">
      <formula>NOT(ISERROR(SEARCH("Min",J60)))</formula>
    </cfRule>
    <cfRule type="containsText" dxfId="65" priority="123" operator="containsText" text="Specify ">
      <formula>NOT(ISERROR(SEARCH("Specify ",J60)))</formula>
    </cfRule>
  </conditionalFormatting>
  <conditionalFormatting sqref="K60">
    <cfRule type="containsText" dxfId="64" priority="118" operator="containsText" text="Max">
      <formula>NOT(ISERROR(SEARCH("Max",K60)))</formula>
    </cfRule>
    <cfRule type="containsText" dxfId="63" priority="119" operator="containsText" text="Min">
      <formula>NOT(ISERROR(SEARCH("Min",K60)))</formula>
    </cfRule>
    <cfRule type="containsText" dxfId="62" priority="120" operator="containsText" text="Specify ">
      <formula>NOT(ISERROR(SEARCH("Specify ",K60)))</formula>
    </cfRule>
  </conditionalFormatting>
  <conditionalFormatting sqref="M60 O60">
    <cfRule type="containsText" dxfId="61" priority="115" operator="containsText" text="Max">
      <formula>NOT(ISERROR(SEARCH("Max",M60)))</formula>
    </cfRule>
    <cfRule type="containsText" dxfId="60" priority="116" operator="containsText" text="Min">
      <formula>NOT(ISERROR(SEARCH("Min",M60)))</formula>
    </cfRule>
    <cfRule type="containsText" dxfId="59" priority="117" operator="containsText" text="Specify ">
      <formula>NOT(ISERROR(SEARCH("Specify ",M60)))</formula>
    </cfRule>
  </conditionalFormatting>
  <conditionalFormatting sqref="N60">
    <cfRule type="containsText" dxfId="58" priority="112" operator="containsText" text="Max">
      <formula>NOT(ISERROR(SEARCH("Max",N60)))</formula>
    </cfRule>
    <cfRule type="containsText" dxfId="57" priority="113" operator="containsText" text="Min">
      <formula>NOT(ISERROR(SEARCH("Min",N60)))</formula>
    </cfRule>
    <cfRule type="containsText" dxfId="56" priority="114" operator="containsText" text="Specify ">
      <formula>NOT(ISERROR(SEARCH("Specify ",N60)))</formula>
    </cfRule>
  </conditionalFormatting>
  <conditionalFormatting sqref="G62 I62">
    <cfRule type="containsText" dxfId="55" priority="109" operator="containsText" text="Max">
      <formula>NOT(ISERROR(SEARCH("Max",G62)))</formula>
    </cfRule>
    <cfRule type="containsText" dxfId="54" priority="110" operator="containsText" text="Min">
      <formula>NOT(ISERROR(SEARCH("Min",G62)))</formula>
    </cfRule>
    <cfRule type="containsText" dxfId="53" priority="111" operator="containsText" text="Specify ">
      <formula>NOT(ISERROR(SEARCH("Specify ",G62)))</formula>
    </cfRule>
  </conditionalFormatting>
  <conditionalFormatting sqref="H62">
    <cfRule type="containsText" dxfId="52" priority="106" operator="containsText" text="Max">
      <formula>NOT(ISERROR(SEARCH("Max",H62)))</formula>
    </cfRule>
    <cfRule type="containsText" dxfId="51" priority="107" operator="containsText" text="Min">
      <formula>NOT(ISERROR(SEARCH("Min",H62)))</formula>
    </cfRule>
    <cfRule type="containsText" dxfId="50" priority="108" operator="containsText" text="Specify ">
      <formula>NOT(ISERROR(SEARCH("Specify ",H62)))</formula>
    </cfRule>
  </conditionalFormatting>
  <conditionalFormatting sqref="J62 L62">
    <cfRule type="containsText" dxfId="49" priority="103" operator="containsText" text="Max">
      <formula>NOT(ISERROR(SEARCH("Max",J62)))</formula>
    </cfRule>
    <cfRule type="containsText" dxfId="48" priority="104" operator="containsText" text="Min">
      <formula>NOT(ISERROR(SEARCH("Min",J62)))</formula>
    </cfRule>
    <cfRule type="containsText" dxfId="47" priority="105" operator="containsText" text="Specify ">
      <formula>NOT(ISERROR(SEARCH("Specify ",J62)))</formula>
    </cfRule>
  </conditionalFormatting>
  <conditionalFormatting sqref="K62">
    <cfRule type="containsText" dxfId="46" priority="100" operator="containsText" text="Max">
      <formula>NOT(ISERROR(SEARCH("Max",K62)))</formula>
    </cfRule>
    <cfRule type="containsText" dxfId="45" priority="101" operator="containsText" text="Min">
      <formula>NOT(ISERROR(SEARCH("Min",K62)))</formula>
    </cfRule>
    <cfRule type="containsText" dxfId="44" priority="102" operator="containsText" text="Specify ">
      <formula>NOT(ISERROR(SEARCH("Specify ",K62)))</formula>
    </cfRule>
  </conditionalFormatting>
  <conditionalFormatting sqref="M62 O62">
    <cfRule type="containsText" dxfId="43" priority="97" operator="containsText" text="Max">
      <formula>NOT(ISERROR(SEARCH("Max",M62)))</formula>
    </cfRule>
    <cfRule type="containsText" dxfId="42" priority="98" operator="containsText" text="Min">
      <formula>NOT(ISERROR(SEARCH("Min",M62)))</formula>
    </cfRule>
    <cfRule type="containsText" dxfId="41" priority="99" operator="containsText" text="Specify ">
      <formula>NOT(ISERROR(SEARCH("Specify ",M62)))</formula>
    </cfRule>
  </conditionalFormatting>
  <conditionalFormatting sqref="N62">
    <cfRule type="containsText" dxfId="40" priority="94" operator="containsText" text="Max">
      <formula>NOT(ISERROR(SEARCH("Max",N62)))</formula>
    </cfRule>
    <cfRule type="containsText" dxfId="39" priority="95" operator="containsText" text="Min">
      <formula>NOT(ISERROR(SEARCH("Min",N62)))</formula>
    </cfRule>
    <cfRule type="containsText" dxfId="38" priority="96" operator="containsText" text="Specify ">
      <formula>NOT(ISERROR(SEARCH("Specify ",N62)))</formula>
    </cfRule>
  </conditionalFormatting>
  <conditionalFormatting sqref="G38 I38">
    <cfRule type="containsText" dxfId="37" priority="16" operator="containsText" text="Max">
      <formula>NOT(ISERROR(SEARCH("Max",G38)))</formula>
    </cfRule>
    <cfRule type="containsText" dxfId="36" priority="17" operator="containsText" text="Min">
      <formula>NOT(ISERROR(SEARCH("Min",G38)))</formula>
    </cfRule>
    <cfRule type="containsText" dxfId="35" priority="18" operator="containsText" text="Specify ">
      <formula>NOT(ISERROR(SEARCH("Specify ",G38)))</formula>
    </cfRule>
  </conditionalFormatting>
  <conditionalFormatting sqref="H38">
    <cfRule type="containsText" dxfId="34" priority="13" operator="containsText" text="Max">
      <formula>NOT(ISERROR(SEARCH("Max",H38)))</formula>
    </cfRule>
    <cfRule type="containsText" dxfId="33" priority="14" operator="containsText" text="Min">
      <formula>NOT(ISERROR(SEARCH("Min",H38)))</formula>
    </cfRule>
    <cfRule type="containsText" dxfId="32" priority="15" operator="containsText" text="Specify ">
      <formula>NOT(ISERROR(SEARCH("Specify ",H38)))</formula>
    </cfRule>
  </conditionalFormatting>
  <conditionalFormatting sqref="J38 L38">
    <cfRule type="containsText" dxfId="31" priority="10" operator="containsText" text="Max">
      <formula>NOT(ISERROR(SEARCH("Max",J38)))</formula>
    </cfRule>
    <cfRule type="containsText" dxfId="30" priority="11" operator="containsText" text="Min">
      <formula>NOT(ISERROR(SEARCH("Min",J38)))</formula>
    </cfRule>
    <cfRule type="containsText" dxfId="29" priority="12" operator="containsText" text="Specify ">
      <formula>NOT(ISERROR(SEARCH("Specify ",J38)))</formula>
    </cfRule>
  </conditionalFormatting>
  <conditionalFormatting sqref="K38">
    <cfRule type="containsText" dxfId="28" priority="7" operator="containsText" text="Max">
      <formula>NOT(ISERROR(SEARCH("Max",K38)))</formula>
    </cfRule>
    <cfRule type="containsText" dxfId="27" priority="8" operator="containsText" text="Min">
      <formula>NOT(ISERROR(SEARCH("Min",K38)))</formula>
    </cfRule>
    <cfRule type="containsText" dxfId="26" priority="9" operator="containsText" text="Specify ">
      <formula>NOT(ISERROR(SEARCH("Specify ",K38)))</formula>
    </cfRule>
  </conditionalFormatting>
  <conditionalFormatting sqref="M38 O38">
    <cfRule type="containsText" dxfId="25" priority="4" operator="containsText" text="Max">
      <formula>NOT(ISERROR(SEARCH("Max",M38)))</formula>
    </cfRule>
    <cfRule type="containsText" dxfId="24" priority="5" operator="containsText" text="Min">
      <formula>NOT(ISERROR(SEARCH("Min",M38)))</formula>
    </cfRule>
    <cfRule type="containsText" dxfId="23" priority="6" operator="containsText" text="Specify ">
      <formula>NOT(ISERROR(SEARCH("Specify ",M38)))</formula>
    </cfRule>
  </conditionalFormatting>
  <conditionalFormatting sqref="N38">
    <cfRule type="containsText" dxfId="22" priority="1" operator="containsText" text="Max">
      <formula>NOT(ISERROR(SEARCH("Max",N38)))</formula>
    </cfRule>
    <cfRule type="containsText" dxfId="21" priority="2" operator="containsText" text="Min">
      <formula>NOT(ISERROR(SEARCH("Min",N38)))</formula>
    </cfRule>
    <cfRule type="containsText" dxfId="20" priority="3" operator="containsText" text="Specify ">
      <formula>NOT(ISERROR(SEARCH("Specify ",N38)))</formula>
    </cfRule>
  </conditionalFormatting>
  <pageMargins left="0.7" right="0.7" top="0.75" bottom="0.75" header="0.3" footer="0.3"/>
  <pageSetup paperSize="9" scale="48" orientation="portrait" r:id="rId1"/>
  <ignoredErrors>
    <ignoredError sqref="G45:L47"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pageSetUpPr fitToPage="1"/>
  </sheetPr>
  <dimension ref="A1:X84"/>
  <sheetViews>
    <sheetView zoomScale="110" zoomScaleNormal="110" workbookViewId="0">
      <pane ySplit="1" topLeftCell="A2" activePane="bottomLeft" state="frozen"/>
      <selection activeCell="D4" sqref="F4"/>
      <selection pane="bottomLeft" activeCell="D4" sqref="F4"/>
    </sheetView>
  </sheetViews>
  <sheetFormatPr defaultColWidth="9" defaultRowHeight="15.75" x14ac:dyDescent="0.25"/>
  <cols>
    <col min="1" max="1" width="10.25" style="8" bestFit="1" customWidth="1"/>
    <col min="2" max="2" width="24" style="2" bestFit="1" customWidth="1"/>
    <col min="3" max="3" width="10.25" style="2" bestFit="1" customWidth="1"/>
    <col min="4" max="6" width="18.375" style="2" customWidth="1"/>
    <col min="7" max="7" width="10.25" style="2" bestFit="1" customWidth="1"/>
    <col min="8" max="8" width="13.875" style="2" bestFit="1" customWidth="1"/>
    <col min="9" max="9" width="10.25" style="2" bestFit="1" customWidth="1"/>
    <col min="10" max="10" width="25.75" style="2" customWidth="1"/>
    <col min="11" max="11" width="10.25" style="2" bestFit="1" customWidth="1"/>
    <col min="12" max="12" width="19.375" style="2" bestFit="1" customWidth="1"/>
    <col min="13" max="13" width="10.25" style="2" bestFit="1" customWidth="1"/>
    <col min="14" max="14" width="14" style="2" customWidth="1"/>
    <col min="15" max="15" width="10.25" style="2" bestFit="1" customWidth="1"/>
    <col min="16" max="16" width="13.125" style="2" bestFit="1" customWidth="1"/>
    <col min="17" max="17" width="10.25" style="2" bestFit="1" customWidth="1"/>
    <col min="18" max="18" width="14.5" style="2" bestFit="1" customWidth="1"/>
    <col min="19" max="23" width="9" style="2"/>
    <col min="24" max="24" width="9" style="2" hidden="1" customWidth="1"/>
    <col min="25" max="16384" width="9" style="2"/>
  </cols>
  <sheetData>
    <row r="1" spans="1:24" x14ac:dyDescent="0.25">
      <c r="A1" s="18"/>
      <c r="B1" s="18" t="s">
        <v>260</v>
      </c>
      <c r="C1" s="8"/>
      <c r="D1" s="18" t="s">
        <v>261</v>
      </c>
      <c r="E1" s="18"/>
      <c r="F1" s="18" t="s">
        <v>262</v>
      </c>
      <c r="G1" s="18"/>
      <c r="H1" s="18" t="s">
        <v>263</v>
      </c>
      <c r="I1" s="8"/>
      <c r="J1" s="18" t="s">
        <v>264</v>
      </c>
      <c r="K1" s="18"/>
      <c r="L1" s="18" t="s">
        <v>265</v>
      </c>
      <c r="M1" s="18"/>
      <c r="N1" s="18" t="s">
        <v>266</v>
      </c>
      <c r="O1" s="18"/>
      <c r="P1" s="18" t="s">
        <v>267</v>
      </c>
      <c r="Q1" s="18"/>
      <c r="R1" s="18" t="s">
        <v>268</v>
      </c>
    </row>
    <row r="2" spans="1:24" hidden="1" x14ac:dyDescent="0.25">
      <c r="A2" s="18"/>
      <c r="B2" s="18"/>
      <c r="C2" s="8"/>
      <c r="D2" s="18"/>
      <c r="E2" s="18"/>
      <c r="F2" s="18"/>
      <c r="G2" s="18"/>
      <c r="H2" s="18"/>
      <c r="I2" s="8"/>
      <c r="J2" s="20" t="s">
        <v>269</v>
      </c>
      <c r="K2" s="18"/>
      <c r="L2" s="18"/>
      <c r="M2" s="18"/>
      <c r="N2" s="18"/>
      <c r="O2" s="18"/>
      <c r="P2" s="18"/>
      <c r="Q2" s="18"/>
      <c r="R2" s="18"/>
      <c r="X2" s="60" t="s">
        <v>204</v>
      </c>
    </row>
    <row r="3" spans="1:24" hidden="1" x14ac:dyDescent="0.25">
      <c r="A3" s="20"/>
      <c r="B3" s="20" t="s">
        <v>204</v>
      </c>
      <c r="C3" s="8"/>
      <c r="D3" s="20" t="s">
        <v>204</v>
      </c>
      <c r="E3" s="20"/>
      <c r="F3" s="20" t="s">
        <v>204</v>
      </c>
      <c r="G3" s="20"/>
      <c r="H3" s="20" t="s">
        <v>204</v>
      </c>
      <c r="I3" s="20"/>
      <c r="J3" s="20" t="s">
        <v>204</v>
      </c>
      <c r="K3" s="20"/>
      <c r="L3" s="20" t="s">
        <v>204</v>
      </c>
      <c r="M3" s="19"/>
      <c r="N3" s="20" t="s">
        <v>204</v>
      </c>
      <c r="O3" s="20"/>
      <c r="P3" s="20" t="s">
        <v>204</v>
      </c>
      <c r="Q3" s="20"/>
      <c r="R3" s="20" t="s">
        <v>204</v>
      </c>
      <c r="X3" s="2" t="s">
        <v>270</v>
      </c>
    </row>
    <row r="4" spans="1:24" x14ac:dyDescent="0.25">
      <c r="B4" s="8" t="s">
        <v>271</v>
      </c>
      <c r="C4" s="8"/>
      <c r="D4" s="8" t="s">
        <v>272</v>
      </c>
      <c r="E4" s="8"/>
      <c r="F4" s="8" t="s">
        <v>667</v>
      </c>
      <c r="G4" s="8"/>
      <c r="H4" s="8" t="s">
        <v>273</v>
      </c>
      <c r="I4" s="8"/>
      <c r="J4" s="8" t="s">
        <v>274</v>
      </c>
      <c r="K4" s="8"/>
      <c r="L4" s="42" t="s">
        <v>150</v>
      </c>
      <c r="M4" s="19"/>
      <c r="N4" s="39"/>
      <c r="O4" s="8"/>
      <c r="P4" s="8" t="s">
        <v>275</v>
      </c>
      <c r="Q4" s="8"/>
      <c r="R4" s="8" t="s">
        <v>138</v>
      </c>
      <c r="X4" s="2" t="s">
        <v>180</v>
      </c>
    </row>
    <row r="5" spans="1:24" x14ac:dyDescent="0.25">
      <c r="B5" s="8" t="s">
        <v>276</v>
      </c>
      <c r="C5" s="8"/>
      <c r="D5" s="8" t="s">
        <v>277</v>
      </c>
      <c r="E5" s="8"/>
      <c r="F5" s="2" t="s">
        <v>185</v>
      </c>
      <c r="G5" s="8"/>
      <c r="H5" s="8" t="s">
        <v>202</v>
      </c>
      <c r="I5" s="8"/>
      <c r="J5" s="2" t="s">
        <v>278</v>
      </c>
      <c r="K5" s="19" t="s">
        <v>279</v>
      </c>
      <c r="L5" s="39"/>
      <c r="M5" s="19" t="s">
        <v>279</v>
      </c>
      <c r="N5" s="8"/>
      <c r="O5" s="8"/>
      <c r="P5" s="8" t="s">
        <v>280</v>
      </c>
      <c r="Q5" s="8"/>
      <c r="R5" s="8" t="s">
        <v>140</v>
      </c>
    </row>
    <row r="6" spans="1:24" x14ac:dyDescent="0.25">
      <c r="B6" s="8" t="s">
        <v>281</v>
      </c>
      <c r="C6" s="8"/>
      <c r="D6" s="8" t="s">
        <v>282</v>
      </c>
      <c r="E6" s="8"/>
      <c r="F6" s="8" t="s">
        <v>138</v>
      </c>
      <c r="G6" s="8"/>
      <c r="H6" s="8" t="s">
        <v>283</v>
      </c>
      <c r="I6" s="8"/>
      <c r="J6" s="2" t="s">
        <v>284</v>
      </c>
      <c r="K6" s="19" t="s">
        <v>279</v>
      </c>
      <c r="L6" s="39"/>
      <c r="M6" s="19" t="s">
        <v>279</v>
      </c>
      <c r="N6" s="8"/>
      <c r="O6" s="8"/>
      <c r="P6" s="8" t="s">
        <v>285</v>
      </c>
      <c r="Q6" s="8"/>
      <c r="R6" s="8" t="s">
        <v>286</v>
      </c>
      <c r="X6" s="2" t="s">
        <v>204</v>
      </c>
    </row>
    <row r="7" spans="1:24" x14ac:dyDescent="0.25">
      <c r="B7" s="8" t="s">
        <v>287</v>
      </c>
      <c r="C7" s="8"/>
      <c r="D7" s="8" t="s">
        <v>288</v>
      </c>
      <c r="E7" s="8"/>
      <c r="F7" s="8" t="s">
        <v>140</v>
      </c>
      <c r="G7" s="8"/>
      <c r="H7" s="8" t="s">
        <v>289</v>
      </c>
      <c r="I7" s="8"/>
      <c r="J7" s="2" t="s">
        <v>290</v>
      </c>
      <c r="K7" s="19" t="s">
        <v>279</v>
      </c>
      <c r="L7" s="39"/>
      <c r="M7" s="19" t="s">
        <v>279</v>
      </c>
      <c r="N7" s="8"/>
      <c r="O7" s="8"/>
      <c r="P7" s="8" t="s">
        <v>291</v>
      </c>
      <c r="Q7" s="19" t="s">
        <v>279</v>
      </c>
      <c r="R7" s="8"/>
      <c r="X7" s="2" t="s">
        <v>292</v>
      </c>
    </row>
    <row r="8" spans="1:24" x14ac:dyDescent="0.25">
      <c r="B8" s="8" t="s">
        <v>293</v>
      </c>
      <c r="C8" s="8"/>
      <c r="D8" s="8" t="s">
        <v>181</v>
      </c>
      <c r="E8" s="8"/>
      <c r="F8" s="8" t="s">
        <v>142</v>
      </c>
      <c r="G8" s="8"/>
      <c r="H8" s="8" t="s">
        <v>294</v>
      </c>
      <c r="I8" s="8"/>
      <c r="J8" s="2" t="s">
        <v>295</v>
      </c>
      <c r="K8" s="19" t="s">
        <v>279</v>
      </c>
      <c r="L8" s="8"/>
      <c r="M8" s="19" t="s">
        <v>279</v>
      </c>
      <c r="N8" s="8"/>
      <c r="O8" s="8"/>
      <c r="P8" s="8" t="s">
        <v>296</v>
      </c>
      <c r="Q8" s="19" t="s">
        <v>279</v>
      </c>
      <c r="R8" s="8"/>
      <c r="X8" s="2" t="s">
        <v>297</v>
      </c>
    </row>
    <row r="9" spans="1:24" x14ac:dyDescent="0.25">
      <c r="B9" s="2" t="s">
        <v>298</v>
      </c>
      <c r="C9" s="19"/>
      <c r="D9" s="8" t="s">
        <v>299</v>
      </c>
      <c r="E9" s="8"/>
      <c r="F9" s="8" t="s">
        <v>144</v>
      </c>
      <c r="G9" s="8"/>
      <c r="H9" s="8" t="s">
        <v>300</v>
      </c>
      <c r="I9" s="8"/>
      <c r="J9" s="8" t="s">
        <v>301</v>
      </c>
      <c r="K9" s="19" t="s">
        <v>279</v>
      </c>
      <c r="L9" s="8"/>
      <c r="M9" s="19" t="s">
        <v>279</v>
      </c>
      <c r="N9" s="8"/>
      <c r="O9" s="8"/>
      <c r="P9" s="8" t="s">
        <v>302</v>
      </c>
      <c r="Q9" s="19" t="s">
        <v>279</v>
      </c>
      <c r="R9" s="8"/>
    </row>
    <row r="10" spans="1:24" x14ac:dyDescent="0.25">
      <c r="B10" s="8" t="s">
        <v>303</v>
      </c>
      <c r="C10" s="19"/>
      <c r="D10" s="8" t="s">
        <v>304</v>
      </c>
      <c r="E10" s="8"/>
      <c r="F10" s="8" t="s">
        <v>146</v>
      </c>
      <c r="G10" s="8"/>
      <c r="H10" s="8" t="s">
        <v>305</v>
      </c>
      <c r="I10" s="8"/>
      <c r="J10" s="8" t="s">
        <v>306</v>
      </c>
      <c r="L10" s="8"/>
      <c r="M10" s="19" t="s">
        <v>279</v>
      </c>
      <c r="N10" s="8"/>
      <c r="O10" s="8"/>
      <c r="P10" s="8" t="s">
        <v>307</v>
      </c>
      <c r="Q10" s="19" t="s">
        <v>279</v>
      </c>
      <c r="R10" s="8"/>
      <c r="X10" s="60" t="s">
        <v>308</v>
      </c>
    </row>
    <row r="11" spans="1:24" x14ac:dyDescent="0.25">
      <c r="B11" s="8" t="s">
        <v>309</v>
      </c>
      <c r="C11" s="19"/>
      <c r="D11" s="8" t="s">
        <v>310</v>
      </c>
      <c r="E11" s="8"/>
      <c r="F11" s="8" t="s">
        <v>148</v>
      </c>
      <c r="G11" s="19" t="s">
        <v>279</v>
      </c>
      <c r="H11" s="8" t="s">
        <v>311</v>
      </c>
      <c r="I11" s="8"/>
      <c r="J11" s="8" t="s">
        <v>312</v>
      </c>
      <c r="L11" s="8"/>
      <c r="M11" s="19" t="s">
        <v>279</v>
      </c>
      <c r="N11" s="8"/>
      <c r="O11" s="8"/>
      <c r="P11" s="8" t="s">
        <v>313</v>
      </c>
      <c r="Q11" s="19" t="s">
        <v>279</v>
      </c>
      <c r="R11" s="8"/>
      <c r="X11" s="2" t="s">
        <v>197</v>
      </c>
    </row>
    <row r="12" spans="1:24" x14ac:dyDescent="0.25">
      <c r="B12" s="8" t="s">
        <v>314</v>
      </c>
      <c r="C12" s="19"/>
      <c r="D12" s="8" t="s">
        <v>315</v>
      </c>
      <c r="F12" s="8" t="s">
        <v>150</v>
      </c>
      <c r="G12" s="19" t="s">
        <v>279</v>
      </c>
      <c r="H12" s="8"/>
      <c r="I12" s="8"/>
      <c r="J12" s="8" t="s">
        <v>316</v>
      </c>
      <c r="K12" s="8"/>
      <c r="L12" s="8"/>
      <c r="M12" s="19" t="s">
        <v>279</v>
      </c>
      <c r="N12" s="8"/>
      <c r="O12" s="8"/>
      <c r="P12" s="8" t="s">
        <v>317</v>
      </c>
      <c r="Q12" s="8"/>
      <c r="R12" s="8"/>
      <c r="X12" s="2" t="s">
        <v>318</v>
      </c>
    </row>
    <row r="13" spans="1:24" x14ac:dyDescent="0.25">
      <c r="B13" s="8" t="s">
        <v>319</v>
      </c>
      <c r="C13" s="19" t="s">
        <v>279</v>
      </c>
      <c r="D13" s="8"/>
      <c r="E13" s="19"/>
      <c r="F13" s="8" t="s">
        <v>320</v>
      </c>
      <c r="G13" s="19" t="s">
        <v>279</v>
      </c>
      <c r="H13" s="8"/>
      <c r="I13" s="8"/>
      <c r="J13" s="2" t="s">
        <v>321</v>
      </c>
      <c r="K13" s="8"/>
      <c r="L13" s="8"/>
      <c r="M13" s="19" t="s">
        <v>279</v>
      </c>
      <c r="N13" s="8"/>
      <c r="O13" s="8"/>
      <c r="P13" s="8" t="s">
        <v>322</v>
      </c>
      <c r="Q13" s="8"/>
      <c r="R13" s="8"/>
      <c r="X13" s="2" t="s">
        <v>323</v>
      </c>
    </row>
    <row r="14" spans="1:24" x14ac:dyDescent="0.25">
      <c r="B14" s="8" t="s">
        <v>324</v>
      </c>
      <c r="C14" s="19" t="s">
        <v>279</v>
      </c>
      <c r="D14" s="8"/>
      <c r="E14" s="19" t="s">
        <v>279</v>
      </c>
      <c r="F14" s="8" t="s">
        <v>593</v>
      </c>
      <c r="G14" s="19" t="s">
        <v>279</v>
      </c>
      <c r="H14" s="8"/>
      <c r="I14" s="8"/>
      <c r="J14" s="42" t="s">
        <v>325</v>
      </c>
      <c r="K14" s="8"/>
      <c r="L14" s="8"/>
      <c r="M14" s="8"/>
      <c r="N14" s="8"/>
      <c r="O14" s="19" t="s">
        <v>279</v>
      </c>
      <c r="Q14" s="8"/>
      <c r="R14" s="8"/>
    </row>
    <row r="15" spans="1:24" x14ac:dyDescent="0.25">
      <c r="B15" s="8" t="s">
        <v>326</v>
      </c>
      <c r="C15" s="19" t="s">
        <v>279</v>
      </c>
      <c r="D15" s="8"/>
      <c r="E15" s="19" t="s">
        <v>279</v>
      </c>
      <c r="F15" s="8"/>
      <c r="G15" s="19" t="s">
        <v>279</v>
      </c>
      <c r="H15" s="8"/>
      <c r="I15" s="8"/>
      <c r="J15" s="42" t="s">
        <v>327</v>
      </c>
      <c r="K15" s="8"/>
      <c r="L15" s="8"/>
      <c r="M15" s="8"/>
      <c r="N15" s="8"/>
      <c r="O15" s="19" t="s">
        <v>279</v>
      </c>
      <c r="P15" s="8"/>
      <c r="Q15" s="8"/>
      <c r="R15" s="8"/>
    </row>
    <row r="16" spans="1:24" x14ac:dyDescent="0.25">
      <c r="B16" s="8" t="s">
        <v>328</v>
      </c>
      <c r="C16" s="19" t="s">
        <v>279</v>
      </c>
      <c r="D16" s="8"/>
      <c r="E16" s="19" t="s">
        <v>279</v>
      </c>
      <c r="F16" s="8"/>
      <c r="H16" s="8"/>
      <c r="I16" s="8"/>
      <c r="J16" s="42" t="s">
        <v>329</v>
      </c>
      <c r="K16" s="8"/>
      <c r="L16" s="8"/>
      <c r="M16" s="8"/>
      <c r="N16" s="8"/>
      <c r="O16" s="19" t="s">
        <v>279</v>
      </c>
      <c r="P16" s="8"/>
      <c r="Q16" s="8"/>
      <c r="R16" s="8"/>
    </row>
    <row r="17" spans="1:18" x14ac:dyDescent="0.25">
      <c r="B17" s="8" t="s">
        <v>330</v>
      </c>
      <c r="C17" s="19" t="s">
        <v>279</v>
      </c>
      <c r="D17" s="8"/>
      <c r="E17" s="19" t="s">
        <v>279</v>
      </c>
      <c r="F17" s="8"/>
      <c r="H17" s="8"/>
      <c r="I17" s="8"/>
      <c r="J17" s="111" t="s">
        <v>331</v>
      </c>
      <c r="K17" s="8"/>
      <c r="L17" s="8"/>
      <c r="M17" s="8"/>
      <c r="N17" s="8"/>
      <c r="O17" s="19" t="s">
        <v>279</v>
      </c>
      <c r="P17" s="8"/>
      <c r="Q17" s="8"/>
      <c r="R17" s="8"/>
    </row>
    <row r="18" spans="1:18" x14ac:dyDescent="0.25">
      <c r="B18" s="8" t="s">
        <v>332</v>
      </c>
      <c r="C18" s="8"/>
      <c r="D18" s="8"/>
      <c r="E18" s="19" t="s">
        <v>279</v>
      </c>
      <c r="F18" s="8"/>
      <c r="G18" s="8"/>
      <c r="H18" s="8"/>
      <c r="I18" s="8"/>
      <c r="J18" s="8" t="s">
        <v>333</v>
      </c>
      <c r="K18" s="8"/>
      <c r="L18" s="8"/>
      <c r="M18" s="8"/>
      <c r="N18" s="8"/>
      <c r="O18" s="19" t="s">
        <v>279</v>
      </c>
      <c r="P18" s="8"/>
      <c r="Q18" s="8"/>
      <c r="R18" s="8"/>
    </row>
    <row r="19" spans="1:18" x14ac:dyDescent="0.25">
      <c r="B19" s="8" t="s">
        <v>334</v>
      </c>
      <c r="C19" s="8"/>
      <c r="D19" s="8"/>
      <c r="E19" s="8"/>
      <c r="F19" s="8"/>
      <c r="G19" s="8"/>
      <c r="H19" s="8"/>
      <c r="I19" s="8"/>
      <c r="J19" s="2" t="s">
        <v>335</v>
      </c>
      <c r="K19" s="8"/>
      <c r="M19" s="8"/>
      <c r="N19" s="8"/>
      <c r="O19" s="8"/>
      <c r="P19" s="8"/>
      <c r="Q19" s="8"/>
      <c r="R19" s="8"/>
    </row>
    <row r="20" spans="1:18" x14ac:dyDescent="0.25">
      <c r="B20" s="8" t="s">
        <v>336</v>
      </c>
      <c r="C20" s="8"/>
      <c r="D20" s="8"/>
      <c r="E20" s="8"/>
      <c r="F20" s="8"/>
      <c r="G20" s="8"/>
      <c r="H20" s="8"/>
      <c r="I20" s="8"/>
      <c r="J20" s="2" t="s">
        <v>337</v>
      </c>
      <c r="K20" s="8"/>
      <c r="M20" s="8"/>
      <c r="N20" s="8"/>
      <c r="O20" s="8"/>
      <c r="P20" s="8"/>
      <c r="Q20" s="8"/>
      <c r="R20" s="8"/>
    </row>
    <row r="21" spans="1:18" x14ac:dyDescent="0.25">
      <c r="A21" s="2"/>
      <c r="B21" s="8" t="s">
        <v>338</v>
      </c>
      <c r="C21" s="8"/>
      <c r="D21" s="8"/>
      <c r="E21" s="8"/>
      <c r="F21" s="8"/>
      <c r="G21" s="8"/>
      <c r="H21" s="8"/>
      <c r="I21" s="8"/>
      <c r="J21" s="2" t="s">
        <v>339</v>
      </c>
      <c r="K21" s="8"/>
      <c r="M21" s="8"/>
      <c r="N21" s="8"/>
      <c r="O21" s="8"/>
      <c r="P21" s="8"/>
      <c r="Q21" s="8"/>
      <c r="R21" s="8"/>
    </row>
    <row r="22" spans="1:18" x14ac:dyDescent="0.25">
      <c r="A22" s="19"/>
      <c r="B22" s="42" t="s">
        <v>277</v>
      </c>
      <c r="C22" s="8"/>
      <c r="D22" s="8"/>
      <c r="E22" s="8"/>
      <c r="F22" s="8"/>
      <c r="G22" s="8"/>
      <c r="H22" s="8"/>
      <c r="I22" s="8"/>
      <c r="J22" s="2" t="s">
        <v>340</v>
      </c>
      <c r="K22" s="8"/>
      <c r="M22" s="8"/>
      <c r="N22" s="8"/>
      <c r="O22" s="8"/>
      <c r="P22" s="8"/>
      <c r="Q22" s="8"/>
      <c r="R22" s="8"/>
    </row>
    <row r="23" spans="1:18" x14ac:dyDescent="0.25">
      <c r="A23" s="19" t="s">
        <v>279</v>
      </c>
      <c r="B23" s="8" t="s">
        <v>178</v>
      </c>
      <c r="C23" s="8"/>
      <c r="D23" s="8"/>
      <c r="E23" s="8"/>
      <c r="F23" s="8"/>
      <c r="G23" s="8"/>
      <c r="H23" s="8"/>
      <c r="I23" s="8"/>
      <c r="J23" s="8" t="s">
        <v>341</v>
      </c>
      <c r="K23" s="8"/>
      <c r="M23" s="8"/>
      <c r="N23" s="8"/>
      <c r="O23" s="8"/>
      <c r="P23" s="8"/>
      <c r="Q23" s="8"/>
      <c r="R23" s="8"/>
    </row>
    <row r="24" spans="1:18" x14ac:dyDescent="0.25">
      <c r="A24" s="19" t="s">
        <v>279</v>
      </c>
      <c r="B24" s="8"/>
      <c r="C24" s="8"/>
      <c r="D24" s="8"/>
      <c r="E24" s="8"/>
      <c r="F24" s="8"/>
      <c r="G24" s="8"/>
      <c r="H24" s="8"/>
      <c r="I24" s="8"/>
      <c r="J24" s="8" t="s">
        <v>342</v>
      </c>
      <c r="K24" s="8"/>
      <c r="M24" s="8"/>
      <c r="N24" s="8"/>
      <c r="O24" s="8"/>
      <c r="P24" s="8"/>
      <c r="Q24" s="8"/>
      <c r="R24" s="8"/>
    </row>
    <row r="25" spans="1:18" x14ac:dyDescent="0.25">
      <c r="A25" s="19" t="s">
        <v>279</v>
      </c>
      <c r="B25" s="8"/>
      <c r="C25" s="8"/>
      <c r="D25" s="8"/>
      <c r="E25" s="8"/>
      <c r="F25" s="8"/>
      <c r="G25" s="8"/>
      <c r="H25" s="8"/>
      <c r="I25" s="8"/>
      <c r="J25" s="8" t="s">
        <v>343</v>
      </c>
      <c r="K25" s="8"/>
      <c r="M25" s="8"/>
      <c r="N25" s="8"/>
      <c r="O25" s="8"/>
      <c r="P25" s="8"/>
      <c r="Q25" s="8"/>
      <c r="R25" s="8"/>
    </row>
    <row r="26" spans="1:18" x14ac:dyDescent="0.25">
      <c r="A26" s="19" t="s">
        <v>279</v>
      </c>
      <c r="B26" s="8"/>
      <c r="C26" s="8"/>
      <c r="D26" s="8"/>
      <c r="E26" s="8"/>
      <c r="F26" s="8"/>
      <c r="G26" s="8"/>
      <c r="H26" s="8"/>
      <c r="I26" s="8"/>
      <c r="J26" s="8" t="s">
        <v>344</v>
      </c>
      <c r="K26" s="8"/>
      <c r="M26" s="8"/>
      <c r="N26" s="8"/>
      <c r="O26" s="8"/>
      <c r="P26" s="8"/>
      <c r="Q26" s="8"/>
      <c r="R26" s="8"/>
    </row>
    <row r="27" spans="1:18" x14ac:dyDescent="0.25">
      <c r="A27" s="19" t="s">
        <v>279</v>
      </c>
      <c r="B27" s="8"/>
      <c r="C27" s="8"/>
      <c r="D27" s="8"/>
      <c r="E27" s="8"/>
      <c r="F27" s="8"/>
      <c r="G27" s="8"/>
      <c r="H27" s="8"/>
      <c r="I27" s="8"/>
      <c r="J27" s="8" t="s">
        <v>345</v>
      </c>
      <c r="K27" s="8"/>
      <c r="M27" s="8"/>
      <c r="N27" s="8"/>
      <c r="O27" s="8"/>
      <c r="P27" s="8"/>
      <c r="Q27" s="8"/>
      <c r="R27" s="8"/>
    </row>
    <row r="28" spans="1:18" x14ac:dyDescent="0.25">
      <c r="B28" s="8"/>
      <c r="C28" s="8"/>
      <c r="D28" s="8"/>
      <c r="E28" s="8"/>
      <c r="F28" s="8"/>
      <c r="G28" s="8"/>
      <c r="H28" s="8"/>
      <c r="I28" s="8"/>
      <c r="J28" s="8" t="s">
        <v>346</v>
      </c>
      <c r="K28" s="8"/>
      <c r="M28" s="8"/>
      <c r="N28" s="8"/>
      <c r="O28" s="8"/>
      <c r="P28" s="8"/>
      <c r="Q28" s="8"/>
      <c r="R28" s="8"/>
    </row>
    <row r="29" spans="1:18" x14ac:dyDescent="0.25">
      <c r="B29" s="8"/>
      <c r="C29" s="8"/>
      <c r="D29" s="8"/>
      <c r="E29" s="8"/>
      <c r="F29" s="8"/>
      <c r="G29" s="8"/>
      <c r="H29" s="8"/>
      <c r="I29" s="8"/>
      <c r="J29" s="8" t="s">
        <v>347</v>
      </c>
      <c r="K29" s="8"/>
      <c r="M29" s="8"/>
      <c r="N29" s="8"/>
      <c r="O29" s="8"/>
      <c r="P29" s="8"/>
      <c r="Q29" s="8"/>
      <c r="R29" s="8"/>
    </row>
    <row r="30" spans="1:18" x14ac:dyDescent="0.25">
      <c r="B30" s="8"/>
      <c r="C30" s="8"/>
      <c r="D30" s="8"/>
      <c r="E30" s="8"/>
      <c r="F30" s="8"/>
      <c r="G30" s="8"/>
      <c r="H30" s="8"/>
      <c r="I30" s="8"/>
      <c r="J30" s="8" t="s">
        <v>348</v>
      </c>
      <c r="K30" s="8"/>
      <c r="M30" s="8"/>
      <c r="N30" s="8"/>
      <c r="O30" s="8"/>
      <c r="P30" s="8"/>
      <c r="Q30" s="8"/>
      <c r="R30" s="8"/>
    </row>
    <row r="31" spans="1:18" x14ac:dyDescent="0.25">
      <c r="B31" s="8"/>
      <c r="C31" s="8"/>
      <c r="D31" s="8"/>
      <c r="E31" s="8"/>
      <c r="F31" s="8"/>
      <c r="G31" s="8"/>
      <c r="H31" s="8"/>
      <c r="I31" s="8"/>
      <c r="J31" s="8" t="s">
        <v>220</v>
      </c>
      <c r="K31" s="8"/>
      <c r="M31" s="8"/>
      <c r="N31" s="8"/>
      <c r="O31" s="8"/>
      <c r="P31" s="8"/>
      <c r="Q31" s="8"/>
      <c r="R31" s="8"/>
    </row>
    <row r="32" spans="1:18" x14ac:dyDescent="0.25">
      <c r="B32" s="8"/>
      <c r="C32" s="8"/>
      <c r="D32" s="8"/>
      <c r="E32" s="8"/>
      <c r="F32" s="8"/>
      <c r="G32" s="8"/>
      <c r="H32" s="8"/>
      <c r="I32" s="8"/>
      <c r="J32" s="8" t="s">
        <v>349</v>
      </c>
      <c r="K32" s="8"/>
      <c r="M32" s="8"/>
      <c r="N32" s="8"/>
      <c r="O32" s="8"/>
      <c r="P32" s="8"/>
      <c r="Q32" s="8"/>
      <c r="R32" s="8"/>
    </row>
    <row r="33" spans="2:18" x14ac:dyDescent="0.25">
      <c r="B33" s="8"/>
      <c r="C33" s="8"/>
      <c r="D33" s="8"/>
      <c r="E33" s="8"/>
      <c r="F33" s="8"/>
      <c r="G33" s="8"/>
      <c r="H33" s="8"/>
      <c r="I33" s="8"/>
      <c r="J33" s="8" t="s">
        <v>350</v>
      </c>
      <c r="K33" s="8"/>
      <c r="M33" s="8"/>
      <c r="N33" s="8"/>
      <c r="O33" s="8"/>
      <c r="P33" s="8"/>
      <c r="Q33" s="8"/>
      <c r="R33" s="8"/>
    </row>
    <row r="34" spans="2:18" x14ac:dyDescent="0.25">
      <c r="B34" s="8"/>
      <c r="C34" s="8"/>
      <c r="D34" s="8"/>
      <c r="E34" s="8"/>
      <c r="F34" s="8"/>
      <c r="G34" s="8"/>
      <c r="H34" s="8"/>
      <c r="I34" s="8"/>
      <c r="J34" s="8" t="s">
        <v>351</v>
      </c>
      <c r="K34" s="8"/>
      <c r="M34" s="8"/>
      <c r="N34" s="8"/>
      <c r="O34" s="8"/>
      <c r="P34" s="8"/>
      <c r="Q34" s="8"/>
      <c r="R34" s="8"/>
    </row>
    <row r="35" spans="2:18" x14ac:dyDescent="0.25">
      <c r="B35" s="8"/>
      <c r="C35" s="8"/>
      <c r="D35" s="8"/>
      <c r="E35" s="8"/>
      <c r="F35" s="8"/>
      <c r="G35" s="8"/>
      <c r="H35" s="8"/>
      <c r="I35" s="8"/>
      <c r="J35" s="8" t="s">
        <v>352</v>
      </c>
      <c r="K35" s="8"/>
      <c r="M35" s="8"/>
      <c r="N35" s="8"/>
      <c r="O35" s="8"/>
      <c r="P35" s="8"/>
      <c r="Q35" s="8"/>
      <c r="R35" s="8"/>
    </row>
    <row r="36" spans="2:18" x14ac:dyDescent="0.25">
      <c r="B36" s="8"/>
      <c r="C36" s="8"/>
      <c r="D36" s="8"/>
      <c r="E36" s="8"/>
      <c r="F36" s="8"/>
      <c r="G36" s="8"/>
      <c r="H36" s="8"/>
      <c r="I36" s="8"/>
      <c r="J36" s="8" t="s">
        <v>353</v>
      </c>
      <c r="K36" s="8"/>
      <c r="M36" s="8"/>
      <c r="N36" s="8"/>
      <c r="O36" s="8"/>
      <c r="P36" s="8"/>
      <c r="Q36" s="8"/>
      <c r="R36" s="8"/>
    </row>
    <row r="37" spans="2:18" x14ac:dyDescent="0.25">
      <c r="B37" s="8"/>
      <c r="C37" s="8"/>
      <c r="D37" s="8"/>
      <c r="E37" s="8"/>
      <c r="F37" s="8"/>
      <c r="G37" s="8"/>
      <c r="H37" s="8"/>
      <c r="I37" s="8"/>
      <c r="J37" s="8" t="s">
        <v>354</v>
      </c>
      <c r="K37" s="8"/>
      <c r="M37" s="8"/>
      <c r="N37" s="8"/>
      <c r="O37" s="8"/>
      <c r="P37" s="8"/>
      <c r="Q37" s="8"/>
      <c r="R37" s="8"/>
    </row>
    <row r="38" spans="2:18" x14ac:dyDescent="0.25">
      <c r="B38" s="8"/>
      <c r="C38" s="8"/>
      <c r="D38" s="8"/>
      <c r="E38" s="8"/>
      <c r="F38" s="8"/>
      <c r="G38" s="8"/>
      <c r="H38" s="8"/>
      <c r="I38" s="8"/>
      <c r="J38" s="8" t="s">
        <v>298</v>
      </c>
      <c r="K38" s="8"/>
      <c r="M38" s="8"/>
      <c r="N38" s="8"/>
      <c r="O38" s="8"/>
      <c r="P38" s="8"/>
      <c r="Q38" s="8"/>
      <c r="R38" s="8"/>
    </row>
    <row r="39" spans="2:18" x14ac:dyDescent="0.25">
      <c r="B39" s="8"/>
      <c r="C39" s="8"/>
      <c r="D39" s="8"/>
      <c r="E39" s="8"/>
      <c r="F39" s="8"/>
      <c r="G39" s="8"/>
      <c r="H39" s="8"/>
      <c r="I39" s="8"/>
      <c r="J39" s="8" t="s">
        <v>355</v>
      </c>
      <c r="K39" s="8"/>
      <c r="M39" s="8"/>
      <c r="N39" s="8"/>
      <c r="O39" s="8"/>
      <c r="P39" s="8"/>
      <c r="Q39" s="8"/>
      <c r="R39" s="8"/>
    </row>
    <row r="40" spans="2:18" x14ac:dyDescent="0.25">
      <c r="B40" s="8"/>
      <c r="C40" s="8"/>
      <c r="D40" s="8"/>
      <c r="E40" s="8"/>
      <c r="F40" s="8"/>
      <c r="G40" s="8"/>
      <c r="H40" s="8"/>
      <c r="I40" s="8"/>
      <c r="J40" s="8" t="s">
        <v>356</v>
      </c>
      <c r="K40" s="8"/>
      <c r="M40" s="8"/>
      <c r="N40" s="8"/>
      <c r="O40" s="8"/>
      <c r="P40" s="8"/>
      <c r="Q40" s="8"/>
      <c r="R40" s="8"/>
    </row>
    <row r="41" spans="2:18" x14ac:dyDescent="0.25">
      <c r="B41" s="8"/>
      <c r="C41" s="8"/>
      <c r="D41" s="8"/>
      <c r="E41" s="8"/>
      <c r="F41" s="8"/>
      <c r="G41" s="8"/>
      <c r="H41" s="8"/>
      <c r="I41" s="8"/>
      <c r="J41" s="8" t="s">
        <v>357</v>
      </c>
      <c r="K41" s="8"/>
      <c r="M41" s="8"/>
      <c r="N41" s="8"/>
      <c r="O41" s="8"/>
      <c r="P41" s="8"/>
      <c r="Q41" s="8"/>
      <c r="R41" s="8"/>
    </row>
    <row r="42" spans="2:18" x14ac:dyDescent="0.25">
      <c r="B42" s="8"/>
      <c r="C42" s="8"/>
      <c r="D42" s="8"/>
      <c r="E42" s="8"/>
      <c r="F42" s="8"/>
      <c r="G42" s="8"/>
      <c r="H42" s="8"/>
      <c r="I42" s="8"/>
      <c r="J42" s="8" t="s">
        <v>358</v>
      </c>
      <c r="K42" s="8"/>
      <c r="M42" s="8"/>
      <c r="N42" s="8"/>
      <c r="O42" s="8"/>
      <c r="P42" s="8"/>
      <c r="Q42" s="8"/>
      <c r="R42" s="8"/>
    </row>
    <row r="43" spans="2:18" x14ac:dyDescent="0.25">
      <c r="B43" s="8"/>
      <c r="C43" s="8"/>
      <c r="D43" s="8"/>
      <c r="E43" s="8"/>
      <c r="F43" s="8"/>
      <c r="G43" s="8"/>
      <c r="H43" s="8"/>
      <c r="I43" s="8"/>
      <c r="J43" s="8" t="s">
        <v>359</v>
      </c>
      <c r="K43" s="8"/>
      <c r="M43" s="8"/>
      <c r="N43" s="8"/>
      <c r="O43" s="8"/>
      <c r="P43" s="8"/>
      <c r="Q43" s="8"/>
      <c r="R43" s="8"/>
    </row>
    <row r="44" spans="2:18" x14ac:dyDescent="0.25">
      <c r="B44" s="8"/>
      <c r="C44" s="8"/>
      <c r="D44" s="8"/>
      <c r="E44" s="8"/>
      <c r="F44" s="8"/>
      <c r="G44" s="8"/>
      <c r="H44" s="8"/>
      <c r="J44" s="8" t="s">
        <v>360</v>
      </c>
      <c r="K44" s="8"/>
      <c r="M44" s="8"/>
      <c r="N44" s="8"/>
      <c r="O44" s="8"/>
      <c r="P44" s="8"/>
      <c r="Q44" s="8"/>
      <c r="R44" s="8"/>
    </row>
    <row r="45" spans="2:18" x14ac:dyDescent="0.25">
      <c r="B45" s="8"/>
      <c r="C45" s="8"/>
      <c r="D45" s="8"/>
      <c r="E45" s="8"/>
      <c r="F45" s="8"/>
      <c r="G45" s="8"/>
      <c r="H45" s="8"/>
      <c r="J45" s="8" t="s">
        <v>361</v>
      </c>
      <c r="K45" s="39"/>
      <c r="M45" s="8"/>
      <c r="N45" s="8"/>
      <c r="O45" s="8"/>
      <c r="P45" s="8"/>
      <c r="Q45" s="8"/>
      <c r="R45" s="8"/>
    </row>
    <row r="46" spans="2:18" x14ac:dyDescent="0.25">
      <c r="B46" s="8"/>
      <c r="C46" s="8"/>
      <c r="D46" s="8"/>
      <c r="E46" s="8"/>
      <c r="F46" s="8"/>
      <c r="G46" s="8"/>
      <c r="H46" s="8"/>
      <c r="J46" s="2" t="s">
        <v>362</v>
      </c>
      <c r="K46" s="39"/>
      <c r="M46" s="8"/>
      <c r="N46" s="8"/>
      <c r="O46" s="8"/>
      <c r="P46" s="8"/>
      <c r="Q46" s="8"/>
      <c r="R46" s="8"/>
    </row>
    <row r="47" spans="2:18" x14ac:dyDescent="0.25">
      <c r="B47" s="8"/>
      <c r="C47" s="8"/>
      <c r="D47" s="8"/>
      <c r="E47" s="8"/>
      <c r="F47" s="8"/>
      <c r="G47" s="8"/>
      <c r="H47" s="8"/>
      <c r="J47" s="111" t="s">
        <v>363</v>
      </c>
      <c r="K47" s="39"/>
      <c r="M47" s="8"/>
      <c r="N47" s="8"/>
      <c r="O47" s="8"/>
      <c r="P47" s="8"/>
      <c r="Q47" s="8"/>
      <c r="R47" s="8"/>
    </row>
    <row r="48" spans="2:18" x14ac:dyDescent="0.25">
      <c r="B48" s="8"/>
      <c r="C48" s="8"/>
      <c r="D48" s="8"/>
      <c r="E48" s="8"/>
      <c r="F48" s="8"/>
      <c r="G48" s="8"/>
      <c r="H48" s="8"/>
      <c r="J48" s="42" t="s">
        <v>364</v>
      </c>
      <c r="K48" s="39"/>
      <c r="M48" s="8"/>
      <c r="N48" s="8"/>
      <c r="O48" s="8"/>
      <c r="P48" s="8"/>
      <c r="Q48" s="8"/>
      <c r="R48" s="8"/>
    </row>
    <row r="49" spans="2:19" x14ac:dyDescent="0.25">
      <c r="B49" s="8"/>
      <c r="C49" s="8"/>
      <c r="D49" s="8"/>
      <c r="E49" s="8"/>
      <c r="F49" s="8"/>
      <c r="G49" s="8"/>
      <c r="H49" s="8"/>
      <c r="J49" s="42" t="s">
        <v>365</v>
      </c>
      <c r="K49" s="8"/>
      <c r="M49" s="8"/>
      <c r="N49" s="8"/>
      <c r="O49" s="8"/>
      <c r="P49" s="8"/>
      <c r="Q49" s="8"/>
      <c r="R49" s="8"/>
    </row>
    <row r="50" spans="2:19" x14ac:dyDescent="0.25">
      <c r="B50" s="8"/>
      <c r="H50" s="8"/>
      <c r="I50" s="8"/>
      <c r="J50" s="42" t="s">
        <v>221</v>
      </c>
      <c r="K50" s="8"/>
      <c r="M50" s="8"/>
      <c r="N50" s="8"/>
      <c r="O50" s="8"/>
      <c r="P50" s="8"/>
      <c r="Q50" s="8"/>
      <c r="R50" s="8"/>
      <c r="S50" s="8"/>
    </row>
    <row r="51" spans="2:19" x14ac:dyDescent="0.25">
      <c r="B51" s="8"/>
      <c r="H51" s="8"/>
      <c r="J51" s="2" t="s">
        <v>366</v>
      </c>
      <c r="K51" s="8"/>
      <c r="M51" s="8"/>
      <c r="N51" s="8"/>
      <c r="O51" s="8"/>
      <c r="P51" s="8"/>
      <c r="Q51" s="8"/>
      <c r="R51" s="8"/>
      <c r="S51" s="8"/>
    </row>
    <row r="52" spans="2:19" x14ac:dyDescent="0.25">
      <c r="B52" s="8"/>
      <c r="H52" s="8"/>
      <c r="J52" s="8" t="s">
        <v>367</v>
      </c>
      <c r="K52" s="8"/>
      <c r="M52" s="8"/>
      <c r="N52" s="8"/>
      <c r="O52" s="8"/>
      <c r="P52" s="8"/>
      <c r="Q52" s="8"/>
      <c r="R52" s="8"/>
      <c r="S52" s="8"/>
    </row>
    <row r="53" spans="2:19" x14ac:dyDescent="0.25">
      <c r="B53" s="8"/>
      <c r="H53" s="8"/>
      <c r="J53" s="8" t="s">
        <v>368</v>
      </c>
      <c r="K53" s="8"/>
      <c r="M53" s="8"/>
      <c r="N53" s="8"/>
      <c r="O53" s="8"/>
      <c r="P53" s="8"/>
      <c r="Q53" s="8"/>
      <c r="R53" s="8"/>
      <c r="S53" s="8"/>
    </row>
    <row r="54" spans="2:19" x14ac:dyDescent="0.25">
      <c r="B54" s="8"/>
      <c r="H54" s="8"/>
      <c r="J54" s="8" t="s">
        <v>369</v>
      </c>
      <c r="K54" s="8"/>
      <c r="M54" s="8"/>
      <c r="N54" s="8"/>
      <c r="O54" s="8"/>
      <c r="P54" s="8"/>
      <c r="Q54" s="8"/>
      <c r="R54" s="8"/>
      <c r="S54" s="8"/>
    </row>
    <row r="55" spans="2:19" x14ac:dyDescent="0.25">
      <c r="B55" s="8"/>
      <c r="H55" s="8"/>
      <c r="I55" s="19" t="s">
        <v>279</v>
      </c>
      <c r="J55" s="39" t="s">
        <v>370</v>
      </c>
      <c r="K55" s="8"/>
      <c r="M55" s="8"/>
      <c r="N55" s="8"/>
      <c r="O55" s="8"/>
      <c r="P55" s="8"/>
      <c r="Q55" s="8"/>
      <c r="R55" s="8"/>
      <c r="S55" s="8"/>
    </row>
    <row r="56" spans="2:19" x14ac:dyDescent="0.25">
      <c r="B56" s="8"/>
      <c r="H56" s="8"/>
      <c r="I56" s="19" t="s">
        <v>279</v>
      </c>
      <c r="J56" s="59" t="s">
        <v>371</v>
      </c>
      <c r="K56" s="8"/>
      <c r="M56" s="8"/>
      <c r="N56" s="8"/>
      <c r="O56" s="8"/>
      <c r="P56" s="8"/>
      <c r="Q56" s="8"/>
      <c r="R56" s="8"/>
      <c r="S56" s="8"/>
    </row>
    <row r="57" spans="2:19" x14ac:dyDescent="0.25">
      <c r="B57" s="8"/>
      <c r="H57" s="8"/>
      <c r="I57" s="19" t="s">
        <v>279</v>
      </c>
      <c r="J57" s="39" t="s">
        <v>372</v>
      </c>
      <c r="K57" s="8"/>
      <c r="M57" s="8"/>
      <c r="N57" s="8"/>
      <c r="O57" s="8"/>
      <c r="P57" s="8"/>
      <c r="Q57" s="8"/>
      <c r="R57" s="8"/>
      <c r="S57" s="8"/>
    </row>
    <row r="58" spans="2:19" x14ac:dyDescent="0.25">
      <c r="B58" s="8"/>
      <c r="H58" s="8"/>
      <c r="I58" s="19" t="s">
        <v>279</v>
      </c>
      <c r="J58" s="39" t="s">
        <v>373</v>
      </c>
      <c r="K58" s="8"/>
      <c r="M58" s="8"/>
      <c r="N58" s="8"/>
      <c r="O58" s="8"/>
      <c r="P58" s="8"/>
      <c r="Q58" s="8"/>
      <c r="R58" s="8"/>
      <c r="S58" s="8"/>
    </row>
    <row r="59" spans="2:19" x14ac:dyDescent="0.25">
      <c r="B59" s="8"/>
      <c r="H59" s="8"/>
      <c r="I59" s="19" t="s">
        <v>279</v>
      </c>
      <c r="J59" s="39" t="s">
        <v>374</v>
      </c>
      <c r="K59" s="8"/>
      <c r="M59" s="8"/>
      <c r="N59" s="8"/>
      <c r="O59" s="8"/>
      <c r="P59" s="8"/>
      <c r="Q59" s="8"/>
      <c r="R59" s="8"/>
      <c r="S59" s="8"/>
    </row>
    <row r="60" spans="2:19" x14ac:dyDescent="0.25">
      <c r="B60" s="8"/>
      <c r="H60" s="8"/>
      <c r="I60" s="19" t="s">
        <v>279</v>
      </c>
      <c r="J60" s="39" t="s">
        <v>375</v>
      </c>
      <c r="K60" s="8"/>
      <c r="M60" s="8"/>
      <c r="N60" s="8"/>
      <c r="O60" s="8"/>
      <c r="P60" s="8"/>
      <c r="Q60" s="8"/>
      <c r="R60" s="8"/>
      <c r="S60" s="8"/>
    </row>
    <row r="61" spans="2:19" x14ac:dyDescent="0.25">
      <c r="B61" s="8"/>
      <c r="H61" s="8"/>
      <c r="I61" s="19" t="s">
        <v>279</v>
      </c>
      <c r="J61" s="39" t="s">
        <v>376</v>
      </c>
      <c r="K61" s="8"/>
      <c r="M61" s="8"/>
      <c r="N61" s="8"/>
      <c r="O61" s="8"/>
      <c r="P61" s="8"/>
      <c r="Q61" s="8"/>
      <c r="R61" s="8"/>
      <c r="S61" s="8"/>
    </row>
    <row r="62" spans="2:19" x14ac:dyDescent="0.25">
      <c r="B62" s="8"/>
      <c r="H62" s="8"/>
      <c r="I62" s="19" t="s">
        <v>279</v>
      </c>
      <c r="J62" s="59" t="s">
        <v>377</v>
      </c>
      <c r="K62" s="8"/>
      <c r="M62" s="8"/>
      <c r="N62" s="8"/>
      <c r="O62" s="8"/>
      <c r="P62" s="8"/>
      <c r="Q62" s="8"/>
      <c r="R62" s="8"/>
      <c r="S62" s="8"/>
    </row>
    <row r="63" spans="2:19" x14ac:dyDescent="0.25">
      <c r="B63" s="8"/>
      <c r="H63" s="8"/>
      <c r="I63" s="19" t="s">
        <v>279</v>
      </c>
      <c r="J63" s="59" t="s">
        <v>378</v>
      </c>
      <c r="K63" s="8"/>
      <c r="M63" s="8"/>
      <c r="N63" s="8"/>
      <c r="O63" s="8"/>
      <c r="P63" s="8"/>
      <c r="Q63" s="8"/>
      <c r="R63" s="8"/>
      <c r="S63" s="8"/>
    </row>
    <row r="64" spans="2:19" x14ac:dyDescent="0.25">
      <c r="B64" s="8"/>
      <c r="H64" s="8"/>
      <c r="I64" s="19" t="s">
        <v>279</v>
      </c>
      <c r="J64" s="59" t="s">
        <v>379</v>
      </c>
      <c r="K64" s="8"/>
      <c r="M64" s="8"/>
      <c r="N64" s="8"/>
      <c r="O64" s="8"/>
      <c r="P64" s="8"/>
      <c r="Q64" s="8"/>
      <c r="R64" s="8"/>
      <c r="S64" s="8"/>
    </row>
    <row r="65" spans="9:10" x14ac:dyDescent="0.25">
      <c r="I65" s="19" t="s">
        <v>279</v>
      </c>
      <c r="J65" s="59" t="s">
        <v>380</v>
      </c>
    </row>
    <row r="66" spans="9:10" x14ac:dyDescent="0.25">
      <c r="I66" s="19" t="s">
        <v>279</v>
      </c>
      <c r="J66" s="39" t="s">
        <v>381</v>
      </c>
    </row>
    <row r="67" spans="9:10" x14ac:dyDescent="0.25">
      <c r="I67" s="19" t="s">
        <v>279</v>
      </c>
      <c r="J67" s="39" t="s">
        <v>382</v>
      </c>
    </row>
    <row r="68" spans="9:10" x14ac:dyDescent="0.25">
      <c r="I68" s="19" t="s">
        <v>279</v>
      </c>
      <c r="J68" s="39" t="s">
        <v>383</v>
      </c>
    </row>
    <row r="69" spans="9:10" x14ac:dyDescent="0.25">
      <c r="J69" s="39"/>
    </row>
    <row r="70" spans="9:10" x14ac:dyDescent="0.25">
      <c r="J70" s="39"/>
    </row>
    <row r="71" spans="9:10" x14ac:dyDescent="0.25">
      <c r="J71" s="39"/>
    </row>
    <row r="72" spans="9:10" x14ac:dyDescent="0.25">
      <c r="J72" s="39"/>
    </row>
    <row r="73" spans="9:10" x14ac:dyDescent="0.25">
      <c r="J73" s="39"/>
    </row>
    <row r="74" spans="9:10" x14ac:dyDescent="0.25">
      <c r="J74" s="39"/>
    </row>
    <row r="84" spans="10:10" x14ac:dyDescent="0.25">
      <c r="J84" s="59"/>
    </row>
  </sheetData>
  <sortState xmlns:xlrd2="http://schemas.microsoft.com/office/spreadsheetml/2017/richdata2" ref="J55:J68">
    <sortCondition ref="J55"/>
  </sortState>
  <conditionalFormatting sqref="J94:J1048576 J1:J3 J69:J92">
    <cfRule type="duplicateValues" dxfId="19" priority="19"/>
  </conditionalFormatting>
  <conditionalFormatting sqref="J10">
    <cfRule type="duplicateValues" dxfId="18" priority="17"/>
  </conditionalFormatting>
  <conditionalFormatting sqref="J4:J54 J69:J74">
    <cfRule type="duplicateValues" dxfId="17" priority="166"/>
  </conditionalFormatting>
  <conditionalFormatting sqref="J55">
    <cfRule type="duplicateValues" dxfId="16" priority="15"/>
  </conditionalFormatting>
  <conditionalFormatting sqref="J55">
    <cfRule type="duplicateValues" dxfId="15" priority="16"/>
  </conditionalFormatting>
  <conditionalFormatting sqref="J56">
    <cfRule type="duplicateValues" dxfId="14" priority="13"/>
  </conditionalFormatting>
  <conditionalFormatting sqref="J56">
    <cfRule type="duplicateValues" dxfId="13" priority="14"/>
  </conditionalFormatting>
  <conditionalFormatting sqref="J57">
    <cfRule type="duplicateValues" dxfId="12" priority="11"/>
  </conditionalFormatting>
  <conditionalFormatting sqref="J57">
    <cfRule type="duplicateValues" dxfId="11" priority="12"/>
  </conditionalFormatting>
  <conditionalFormatting sqref="J62:J63">
    <cfRule type="duplicateValues" dxfId="10" priority="9"/>
  </conditionalFormatting>
  <conditionalFormatting sqref="J62:J63">
    <cfRule type="duplicateValues" dxfId="9" priority="10"/>
  </conditionalFormatting>
  <conditionalFormatting sqref="J64">
    <cfRule type="duplicateValues" dxfId="8" priority="7"/>
  </conditionalFormatting>
  <conditionalFormatting sqref="J64">
    <cfRule type="duplicateValues" dxfId="7" priority="8"/>
  </conditionalFormatting>
  <conditionalFormatting sqref="J65:J66">
    <cfRule type="duplicateValues" dxfId="6" priority="5"/>
  </conditionalFormatting>
  <conditionalFormatting sqref="J65:J66">
    <cfRule type="duplicateValues" dxfId="5" priority="6"/>
  </conditionalFormatting>
  <conditionalFormatting sqref="J67">
    <cfRule type="duplicateValues" dxfId="4" priority="3"/>
  </conditionalFormatting>
  <conditionalFormatting sqref="J67">
    <cfRule type="duplicateValues" dxfId="3" priority="4"/>
  </conditionalFormatting>
  <conditionalFormatting sqref="J68">
    <cfRule type="duplicateValues" dxfId="2" priority="1"/>
  </conditionalFormatting>
  <conditionalFormatting sqref="J68">
    <cfRule type="duplicateValues" dxfId="1" priority="2"/>
  </conditionalFormatting>
  <pageMargins left="0.7" right="0.7" top="0.75" bottom="0.75" header="0.3" footer="0.3"/>
  <pageSetup paperSize="9" scale="3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4D3-2A5D-4792-A65F-CAE4F1FA59A5}">
  <dimension ref="A1:AJ326"/>
  <sheetViews>
    <sheetView topLeftCell="C217" zoomScale="80" zoomScaleNormal="80" workbookViewId="0">
      <selection activeCell="D4" sqref="F4"/>
    </sheetView>
  </sheetViews>
  <sheetFormatPr defaultRowHeight="15.75" x14ac:dyDescent="0.25"/>
  <cols>
    <col min="4" max="4" width="9.875" bestFit="1" customWidth="1"/>
    <col min="7" max="7" width="12.5" bestFit="1" customWidth="1"/>
    <col min="10" max="10" width="15.625" customWidth="1"/>
    <col min="14" max="14" width="58.375" bestFit="1" customWidth="1"/>
    <col min="16" max="16" width="10.125" bestFit="1" customWidth="1"/>
    <col min="17" max="17" width="12.5" bestFit="1" customWidth="1"/>
    <col min="18" max="18" width="10.125" customWidth="1"/>
    <col min="19" max="19" width="20.375" customWidth="1"/>
    <col min="20" max="20" width="12.5" bestFit="1" customWidth="1"/>
    <col min="21" max="21" width="14.125" customWidth="1"/>
    <col min="22" max="23" width="11.375" customWidth="1"/>
    <col min="35" max="35" width="14.75" customWidth="1"/>
    <col min="36" max="36" width="13.375" customWidth="1"/>
  </cols>
  <sheetData>
    <row r="1" spans="1:1" ht="21" x14ac:dyDescent="0.35">
      <c r="A1" s="4" t="s">
        <v>384</v>
      </c>
    </row>
    <row r="2" spans="1:1" x14ac:dyDescent="0.25">
      <c r="A2" s="133" t="s">
        <v>385</v>
      </c>
    </row>
    <row r="24" spans="7:14" x14ac:dyDescent="0.25">
      <c r="G24" t="s">
        <v>185</v>
      </c>
      <c r="H24" t="s">
        <v>386</v>
      </c>
      <c r="J24" t="s">
        <v>387</v>
      </c>
      <c r="M24" t="s">
        <v>388</v>
      </c>
    </row>
    <row r="25" spans="7:14" x14ac:dyDescent="0.25">
      <c r="G25">
        <v>2018</v>
      </c>
      <c r="H25">
        <v>1000</v>
      </c>
      <c r="J25">
        <f>2864+H25</f>
        <v>3864</v>
      </c>
      <c r="K25" t="s">
        <v>311</v>
      </c>
      <c r="M25">
        <v>4300</v>
      </c>
      <c r="N25" t="s">
        <v>311</v>
      </c>
    </row>
    <row r="26" spans="7:14" x14ac:dyDescent="0.25">
      <c r="G26">
        <v>2019</v>
      </c>
      <c r="H26">
        <v>1500</v>
      </c>
      <c r="J26">
        <f>J25+H26</f>
        <v>5364</v>
      </c>
      <c r="M26">
        <v>6000</v>
      </c>
      <c r="N26" t="s">
        <v>311</v>
      </c>
    </row>
    <row r="27" spans="7:14" x14ac:dyDescent="0.25">
      <c r="G27">
        <v>2020</v>
      </c>
      <c r="H27">
        <v>2500</v>
      </c>
      <c r="J27">
        <f>J26+H27</f>
        <v>7864</v>
      </c>
      <c r="M27">
        <v>8000</v>
      </c>
      <c r="N27" t="s">
        <v>311</v>
      </c>
    </row>
    <row r="45" spans="18:22" x14ac:dyDescent="0.25">
      <c r="R45" t="s">
        <v>389</v>
      </c>
    </row>
    <row r="47" spans="18:22" x14ac:dyDescent="0.25">
      <c r="R47" t="s">
        <v>390</v>
      </c>
      <c r="S47">
        <v>150</v>
      </c>
      <c r="T47" t="s">
        <v>391</v>
      </c>
      <c r="U47">
        <v>470</v>
      </c>
      <c r="V47" t="s">
        <v>392</v>
      </c>
    </row>
    <row r="48" spans="18:22" x14ac:dyDescent="0.25">
      <c r="R48" t="s">
        <v>393</v>
      </c>
      <c r="U48">
        <v>70</v>
      </c>
      <c r="V48" t="s">
        <v>392</v>
      </c>
    </row>
    <row r="49" spans="3:23" x14ac:dyDescent="0.25">
      <c r="R49" t="s">
        <v>394</v>
      </c>
      <c r="U49" s="136">
        <f>S47/U47*U48</f>
        <v>22.340425531914896</v>
      </c>
      <c r="V49" t="s">
        <v>395</v>
      </c>
    </row>
    <row r="50" spans="3:23" x14ac:dyDescent="0.25">
      <c r="R50" t="s">
        <v>396</v>
      </c>
      <c r="U50">
        <v>1000</v>
      </c>
      <c r="V50" t="s">
        <v>397</v>
      </c>
    </row>
    <row r="51" spans="3:23" x14ac:dyDescent="0.25">
      <c r="U51" s="135">
        <f>U49/U50*1000</f>
        <v>22.340425531914896</v>
      </c>
      <c r="V51" t="s">
        <v>398</v>
      </c>
      <c r="W51" t="s">
        <v>399</v>
      </c>
    </row>
    <row r="58" spans="3:23" x14ac:dyDescent="0.25">
      <c r="S58" t="s">
        <v>400</v>
      </c>
    </row>
    <row r="59" spans="3:23" x14ac:dyDescent="0.25">
      <c r="S59" t="s">
        <v>401</v>
      </c>
    </row>
    <row r="60" spans="3:23" x14ac:dyDescent="0.25">
      <c r="S60" t="s">
        <v>402</v>
      </c>
      <c r="T60" s="166" t="s">
        <v>403</v>
      </c>
    </row>
    <row r="61" spans="3:23" x14ac:dyDescent="0.25">
      <c r="S61" t="s">
        <v>404</v>
      </c>
    </row>
    <row r="63" spans="3:23" x14ac:dyDescent="0.25">
      <c r="C63" t="s">
        <v>405</v>
      </c>
      <c r="S63" t="s">
        <v>406</v>
      </c>
      <c r="T63">
        <v>1000</v>
      </c>
      <c r="U63" t="s">
        <v>407</v>
      </c>
      <c r="V63" s="85" t="s">
        <v>408</v>
      </c>
    </row>
    <row r="64" spans="3:23" x14ac:dyDescent="0.25">
      <c r="C64" t="s">
        <v>409</v>
      </c>
    </row>
    <row r="65" spans="19:33" x14ac:dyDescent="0.25">
      <c r="S65" t="s">
        <v>410</v>
      </c>
      <c r="AA65" s="169" t="s">
        <v>411</v>
      </c>
      <c r="AB65" s="170"/>
      <c r="AC65" s="170"/>
      <c r="AD65" s="170"/>
      <c r="AE65" s="170"/>
      <c r="AF65" s="170"/>
      <c r="AG65" s="122"/>
    </row>
    <row r="66" spans="19:33" x14ac:dyDescent="0.25">
      <c r="S66" s="166" t="s">
        <v>412</v>
      </c>
      <c r="AA66" s="236"/>
      <c r="AB66" s="8"/>
      <c r="AC66" s="8"/>
      <c r="AD66" s="8"/>
      <c r="AE66" s="8"/>
      <c r="AF66" s="8"/>
      <c r="AG66" s="32"/>
    </row>
    <row r="67" spans="19:33" x14ac:dyDescent="0.25">
      <c r="AA67" s="236" t="s">
        <v>413</v>
      </c>
      <c r="AB67" s="8"/>
      <c r="AC67" s="8"/>
      <c r="AD67" s="8"/>
      <c r="AE67" s="8"/>
      <c r="AF67" s="8"/>
      <c r="AG67" s="32"/>
    </row>
    <row r="68" spans="19:33" x14ac:dyDescent="0.25">
      <c r="S68" t="s">
        <v>414</v>
      </c>
      <c r="AA68" s="236" t="s">
        <v>415</v>
      </c>
      <c r="AB68" s="8"/>
      <c r="AC68" s="8"/>
      <c r="AD68" s="8"/>
      <c r="AE68" s="8"/>
      <c r="AF68" s="8"/>
      <c r="AG68" s="32"/>
    </row>
    <row r="69" spans="19:33" x14ac:dyDescent="0.25">
      <c r="AA69" s="236"/>
      <c r="AB69" s="8"/>
      <c r="AC69" s="8"/>
      <c r="AD69" s="8"/>
      <c r="AE69" s="8"/>
      <c r="AF69" s="8"/>
      <c r="AG69" s="32"/>
    </row>
    <row r="70" spans="19:33" x14ac:dyDescent="0.25">
      <c r="S70" t="s">
        <v>416</v>
      </c>
      <c r="U70">
        <v>1200</v>
      </c>
      <c r="AA70" s="236" t="s">
        <v>417</v>
      </c>
      <c r="AB70" s="8"/>
      <c r="AC70" s="8"/>
      <c r="AD70" s="8"/>
      <c r="AE70" s="8"/>
      <c r="AF70" s="8"/>
      <c r="AG70" s="32"/>
    </row>
    <row r="71" spans="19:33" x14ac:dyDescent="0.25">
      <c r="AA71" s="236"/>
      <c r="AB71" s="8"/>
      <c r="AC71" s="8"/>
      <c r="AD71" s="8"/>
      <c r="AE71" s="8"/>
      <c r="AF71" s="8"/>
      <c r="AG71" s="32"/>
    </row>
    <row r="72" spans="19:33" x14ac:dyDescent="0.25">
      <c r="S72" s="2"/>
      <c r="T72" s="2"/>
      <c r="U72" s="168" t="s">
        <v>418</v>
      </c>
      <c r="V72" s="168" t="s">
        <v>388</v>
      </c>
      <c r="AA72" s="237" t="s">
        <v>419</v>
      </c>
      <c r="AB72" s="33"/>
      <c r="AC72" s="33"/>
      <c r="AD72" s="33"/>
      <c r="AE72" s="33"/>
      <c r="AF72" s="33"/>
      <c r="AG72" s="34"/>
    </row>
    <row r="73" spans="19:33" x14ac:dyDescent="0.25">
      <c r="S73" s="167" t="s">
        <v>420</v>
      </c>
      <c r="T73" s="167" t="str">
        <f>U63</f>
        <v>kWp/ha</v>
      </c>
      <c r="U73" s="167">
        <f>T63</f>
        <v>1000</v>
      </c>
      <c r="V73" s="167">
        <f>U73</f>
        <v>1000</v>
      </c>
    </row>
    <row r="74" spans="19:33" x14ac:dyDescent="0.25">
      <c r="S74" s="167" t="s">
        <v>421</v>
      </c>
      <c r="T74" s="167" t="str">
        <f>T73</f>
        <v>kWp/ha</v>
      </c>
      <c r="U74" s="167">
        <f>U70</f>
        <v>1200</v>
      </c>
      <c r="V74" s="167">
        <f t="shared" ref="V74:V75" si="0">U74</f>
        <v>1200</v>
      </c>
    </row>
    <row r="75" spans="19:33" x14ac:dyDescent="0.25">
      <c r="S75" s="167" t="s">
        <v>422</v>
      </c>
      <c r="T75" s="167" t="str">
        <f>T74</f>
        <v>kWp/ha</v>
      </c>
      <c r="U75" s="167">
        <f>0.5*U73</f>
        <v>500</v>
      </c>
      <c r="V75" s="167">
        <f t="shared" si="0"/>
        <v>500</v>
      </c>
    </row>
    <row r="78" spans="19:33" x14ac:dyDescent="0.25">
      <c r="S78" s="140" t="s">
        <v>423</v>
      </c>
    </row>
    <row r="79" spans="19:33" x14ac:dyDescent="0.25">
      <c r="S79" t="s">
        <v>424</v>
      </c>
    </row>
    <row r="80" spans="19:33" x14ac:dyDescent="0.25">
      <c r="S80" t="s">
        <v>425</v>
      </c>
    </row>
    <row r="81" spans="3:19" x14ac:dyDescent="0.25">
      <c r="S81" t="s">
        <v>426</v>
      </c>
    </row>
    <row r="82" spans="3:19" x14ac:dyDescent="0.25">
      <c r="S82" t="s">
        <v>427</v>
      </c>
    </row>
    <row r="83" spans="3:19" x14ac:dyDescent="0.25">
      <c r="S83" t="s">
        <v>428</v>
      </c>
    </row>
    <row r="84" spans="3:19" x14ac:dyDescent="0.25">
      <c r="S84" t="s">
        <v>429</v>
      </c>
    </row>
    <row r="85" spans="3:19" x14ac:dyDescent="0.25">
      <c r="S85" s="166" t="s">
        <v>412</v>
      </c>
    </row>
    <row r="87" spans="3:19" x14ac:dyDescent="0.25">
      <c r="S87" s="171" t="s">
        <v>430</v>
      </c>
    </row>
    <row r="88" spans="3:19" x14ac:dyDescent="0.25">
      <c r="S88" s="165" t="s">
        <v>431</v>
      </c>
    </row>
    <row r="93" spans="3:19" x14ac:dyDescent="0.25">
      <c r="C93" t="s">
        <v>432</v>
      </c>
    </row>
    <row r="95" spans="3:19" x14ac:dyDescent="0.25">
      <c r="I95">
        <v>2020</v>
      </c>
      <c r="L95">
        <v>2030</v>
      </c>
      <c r="O95">
        <v>2050</v>
      </c>
    </row>
    <row r="96" spans="3:19" x14ac:dyDescent="0.25">
      <c r="F96" t="s">
        <v>433</v>
      </c>
      <c r="H96" t="s">
        <v>62</v>
      </c>
      <c r="I96" t="s">
        <v>434</v>
      </c>
      <c r="J96" t="s">
        <v>435</v>
      </c>
      <c r="K96" t="s">
        <v>62</v>
      </c>
      <c r="L96" t="s">
        <v>434</v>
      </c>
      <c r="M96" t="s">
        <v>435</v>
      </c>
      <c r="N96" t="s">
        <v>62</v>
      </c>
      <c r="O96" t="s">
        <v>434</v>
      </c>
      <c r="P96" t="s">
        <v>435</v>
      </c>
    </row>
    <row r="97" spans="5:18" x14ac:dyDescent="0.25">
      <c r="F97" t="s">
        <v>436</v>
      </c>
      <c r="G97" t="s">
        <v>437</v>
      </c>
      <c r="H97" t="s">
        <v>398</v>
      </c>
      <c r="I97" t="s">
        <v>438</v>
      </c>
      <c r="J97" t="s">
        <v>439</v>
      </c>
      <c r="K97" t="s">
        <v>398</v>
      </c>
      <c r="L97" t="s">
        <v>438</v>
      </c>
      <c r="M97" t="s">
        <v>439</v>
      </c>
      <c r="N97" t="s">
        <v>398</v>
      </c>
      <c r="O97" t="s">
        <v>438</v>
      </c>
      <c r="P97" t="s">
        <v>439</v>
      </c>
    </row>
    <row r="98" spans="5:18" x14ac:dyDescent="0.25">
      <c r="E98" s="137" t="s">
        <v>440</v>
      </c>
      <c r="F98">
        <v>5</v>
      </c>
      <c r="G98" t="s">
        <v>441</v>
      </c>
      <c r="H98">
        <v>2</v>
      </c>
      <c r="I98" t="s">
        <v>442</v>
      </c>
      <c r="J98" t="s">
        <v>442</v>
      </c>
    </row>
    <row r="99" spans="5:18" x14ac:dyDescent="0.25">
      <c r="E99" s="137" t="s">
        <v>443</v>
      </c>
      <c r="F99">
        <v>250</v>
      </c>
      <c r="G99" t="s">
        <v>444</v>
      </c>
      <c r="H99">
        <v>2</v>
      </c>
      <c r="I99">
        <v>675</v>
      </c>
      <c r="J99" s="135">
        <v>16.2</v>
      </c>
      <c r="L99">
        <v>540</v>
      </c>
      <c r="O99">
        <v>330</v>
      </c>
    </row>
    <row r="100" spans="5:18" x14ac:dyDescent="0.25">
      <c r="E100" s="137" t="s">
        <v>445</v>
      </c>
      <c r="F100">
        <v>5000</v>
      </c>
      <c r="G100" t="s">
        <v>444</v>
      </c>
      <c r="H100">
        <v>2</v>
      </c>
      <c r="I100">
        <v>655</v>
      </c>
      <c r="J100" s="135">
        <v>13</v>
      </c>
      <c r="L100">
        <v>525</v>
      </c>
      <c r="O100">
        <v>320</v>
      </c>
    </row>
    <row r="101" spans="5:18" x14ac:dyDescent="0.25">
      <c r="E101" s="137" t="s">
        <v>446</v>
      </c>
      <c r="F101">
        <v>10000</v>
      </c>
      <c r="G101" t="s">
        <v>444</v>
      </c>
      <c r="H101">
        <v>2</v>
      </c>
      <c r="I101">
        <v>615</v>
      </c>
      <c r="J101" s="135">
        <v>11.6</v>
      </c>
      <c r="L101">
        <v>500</v>
      </c>
      <c r="O101">
        <v>300</v>
      </c>
    </row>
    <row r="102" spans="5:18" x14ac:dyDescent="0.25">
      <c r="E102" s="137" t="s">
        <v>447</v>
      </c>
      <c r="H102">
        <f>SUM(H98:H101)</f>
        <v>8</v>
      </c>
      <c r="K102">
        <v>22</v>
      </c>
      <c r="N102">
        <v>66</v>
      </c>
    </row>
    <row r="109" spans="5:18" x14ac:dyDescent="0.25">
      <c r="R109" s="138" t="s">
        <v>448</v>
      </c>
    </row>
    <row r="110" spans="5:18" x14ac:dyDescent="0.25">
      <c r="R110" s="238"/>
    </row>
    <row r="111" spans="5:18" x14ac:dyDescent="0.25">
      <c r="R111" s="139" t="s">
        <v>449</v>
      </c>
    </row>
    <row r="117" spans="6:25" x14ac:dyDescent="0.25">
      <c r="R117" s="142" t="s">
        <v>450</v>
      </c>
      <c r="S117" s="142"/>
      <c r="T117" s="142"/>
      <c r="U117" s="142"/>
      <c r="X117" t="s">
        <v>165</v>
      </c>
    </row>
    <row r="118" spans="6:25" x14ac:dyDescent="0.25">
      <c r="X118" t="s">
        <v>451</v>
      </c>
    </row>
    <row r="120" spans="6:25" x14ac:dyDescent="0.25">
      <c r="X120" t="s">
        <v>167</v>
      </c>
    </row>
    <row r="121" spans="6:25" x14ac:dyDescent="0.25">
      <c r="Y121" t="s">
        <v>168</v>
      </c>
    </row>
    <row r="122" spans="6:25" x14ac:dyDescent="0.25">
      <c r="X122">
        <v>2010</v>
      </c>
      <c r="Y122">
        <v>92.05</v>
      </c>
    </row>
    <row r="123" spans="6:25" x14ac:dyDescent="0.25">
      <c r="X123">
        <v>2011</v>
      </c>
      <c r="Y123">
        <v>94.32</v>
      </c>
    </row>
    <row r="124" spans="6:25" x14ac:dyDescent="0.25">
      <c r="X124">
        <v>2012</v>
      </c>
      <c r="Y124">
        <v>96.99</v>
      </c>
    </row>
    <row r="125" spans="6:25" x14ac:dyDescent="0.25">
      <c r="X125">
        <v>2013</v>
      </c>
      <c r="Y125">
        <v>99.47</v>
      </c>
    </row>
    <row r="126" spans="6:25" x14ac:dyDescent="0.25">
      <c r="H126" s="140">
        <v>2020</v>
      </c>
      <c r="I126" s="140">
        <v>2030</v>
      </c>
      <c r="J126" s="140">
        <v>2050</v>
      </c>
      <c r="M126" t="s">
        <v>452</v>
      </c>
      <c r="R126" s="140">
        <v>2020</v>
      </c>
      <c r="S126" s="140">
        <v>2030</v>
      </c>
      <c r="T126" s="140">
        <v>2050</v>
      </c>
      <c r="X126">
        <v>2014</v>
      </c>
      <c r="Y126">
        <v>99.79</v>
      </c>
    </row>
    <row r="127" spans="6:25" x14ac:dyDescent="0.25">
      <c r="F127" s="141" t="s">
        <v>453</v>
      </c>
      <c r="G127" s="140" t="s">
        <v>249</v>
      </c>
      <c r="H127">
        <v>768</v>
      </c>
      <c r="I127">
        <v>615</v>
      </c>
      <c r="J127">
        <v>425</v>
      </c>
      <c r="P127" s="141" t="s">
        <v>453</v>
      </c>
      <c r="Q127" s="140" t="s">
        <v>249</v>
      </c>
      <c r="R127">
        <v>768</v>
      </c>
      <c r="S127">
        <v>615</v>
      </c>
      <c r="T127">
        <v>425</v>
      </c>
      <c r="X127">
        <v>2015</v>
      </c>
      <c r="Y127">
        <v>100</v>
      </c>
    </row>
    <row r="128" spans="6:25" x14ac:dyDescent="0.25">
      <c r="F128" s="141"/>
      <c r="G128" s="140" t="s">
        <v>251</v>
      </c>
      <c r="H128">
        <v>892</v>
      </c>
      <c r="I128">
        <v>753</v>
      </c>
      <c r="J128">
        <v>606</v>
      </c>
      <c r="P128" s="141"/>
      <c r="Q128" s="140" t="s">
        <v>251</v>
      </c>
      <c r="R128">
        <v>892</v>
      </c>
      <c r="S128">
        <v>753</v>
      </c>
      <c r="T128">
        <v>606</v>
      </c>
      <c r="X128">
        <v>2016</v>
      </c>
      <c r="Y128">
        <v>100.11</v>
      </c>
    </row>
    <row r="129" spans="6:25" x14ac:dyDescent="0.25">
      <c r="F129" s="141" t="s">
        <v>454</v>
      </c>
      <c r="G129" s="140" t="s">
        <v>249</v>
      </c>
      <c r="H129">
        <v>762</v>
      </c>
      <c r="I129">
        <v>592</v>
      </c>
      <c r="J129">
        <v>371</v>
      </c>
      <c r="P129" s="141" t="s">
        <v>454</v>
      </c>
      <c r="Q129" s="140" t="s">
        <v>249</v>
      </c>
      <c r="R129">
        <v>762</v>
      </c>
      <c r="S129">
        <v>592</v>
      </c>
      <c r="T129">
        <v>371</v>
      </c>
      <c r="X129">
        <v>2017</v>
      </c>
      <c r="Y129">
        <v>101.4</v>
      </c>
    </row>
    <row r="130" spans="6:25" x14ac:dyDescent="0.25">
      <c r="F130" s="141"/>
      <c r="G130" s="140" t="s">
        <v>251</v>
      </c>
      <c r="H130">
        <v>885</v>
      </c>
      <c r="I130">
        <v>728</v>
      </c>
      <c r="J130">
        <v>546</v>
      </c>
      <c r="P130" s="141"/>
      <c r="Q130" s="140" t="s">
        <v>251</v>
      </c>
      <c r="R130">
        <v>885</v>
      </c>
      <c r="S130">
        <v>728</v>
      </c>
      <c r="T130">
        <v>546</v>
      </c>
      <c r="X130">
        <v>2018</v>
      </c>
      <c r="Y130">
        <v>103.02</v>
      </c>
    </row>
    <row r="131" spans="6:25" ht="15.75" customHeight="1" x14ac:dyDescent="0.25">
      <c r="F131" s="141" t="s">
        <v>455</v>
      </c>
      <c r="G131" s="140" t="s">
        <v>249</v>
      </c>
      <c r="H131">
        <v>759</v>
      </c>
      <c r="I131">
        <v>574</v>
      </c>
      <c r="J131">
        <v>324</v>
      </c>
      <c r="P131" s="141" t="s">
        <v>455</v>
      </c>
      <c r="Q131" s="140" t="s">
        <v>249</v>
      </c>
      <c r="R131">
        <v>759</v>
      </c>
      <c r="S131">
        <v>574</v>
      </c>
      <c r="T131">
        <v>324</v>
      </c>
      <c r="X131" s="137" t="s">
        <v>456</v>
      </c>
      <c r="Y131">
        <f>AVERAGE(105.82,106.11,104.98,104.44,103.13)</f>
        <v>104.896</v>
      </c>
    </row>
    <row r="132" spans="6:25" x14ac:dyDescent="0.25">
      <c r="F132" s="141"/>
      <c r="G132" s="140" t="s">
        <v>251</v>
      </c>
      <c r="H132">
        <v>882</v>
      </c>
      <c r="I132">
        <v>707</v>
      </c>
      <c r="J132">
        <v>493</v>
      </c>
      <c r="P132" s="141"/>
      <c r="Q132" s="140" t="s">
        <v>251</v>
      </c>
      <c r="R132">
        <v>882</v>
      </c>
      <c r="S132">
        <v>707</v>
      </c>
      <c r="T132">
        <v>493</v>
      </c>
    </row>
    <row r="133" spans="6:25" x14ac:dyDescent="0.25">
      <c r="F133" s="141" t="s">
        <v>457</v>
      </c>
      <c r="G133" s="140" t="s">
        <v>249</v>
      </c>
      <c r="H133">
        <v>757</v>
      </c>
      <c r="I133">
        <v>553</v>
      </c>
      <c r="J133">
        <v>278</v>
      </c>
      <c r="P133" s="141" t="s">
        <v>457</v>
      </c>
      <c r="Q133" s="140" t="s">
        <v>249</v>
      </c>
      <c r="R133">
        <v>757</v>
      </c>
      <c r="S133">
        <v>553</v>
      </c>
      <c r="T133">
        <v>278</v>
      </c>
    </row>
    <row r="134" spans="6:25" x14ac:dyDescent="0.25">
      <c r="F134" s="140"/>
      <c r="G134" s="140" t="s">
        <v>251</v>
      </c>
      <c r="H134">
        <v>892</v>
      </c>
      <c r="I134">
        <v>685</v>
      </c>
      <c r="J134">
        <v>440</v>
      </c>
      <c r="P134" s="140"/>
      <c r="Q134" s="140" t="s">
        <v>251</v>
      </c>
      <c r="R134">
        <v>892</v>
      </c>
      <c r="S134">
        <v>685</v>
      </c>
      <c r="T134">
        <v>440</v>
      </c>
      <c r="X134" s="140" t="s">
        <v>458</v>
      </c>
    </row>
    <row r="135" spans="6:25" x14ac:dyDescent="0.25">
      <c r="F135" s="140" t="s">
        <v>459</v>
      </c>
      <c r="G135" s="140" t="s">
        <v>249</v>
      </c>
      <c r="H135">
        <v>757</v>
      </c>
      <c r="I135">
        <v>553</v>
      </c>
      <c r="J135">
        <v>278</v>
      </c>
      <c r="P135" s="140" t="s">
        <v>459</v>
      </c>
      <c r="Q135" s="140" t="s">
        <v>249</v>
      </c>
      <c r="R135">
        <v>757</v>
      </c>
      <c r="S135">
        <v>553</v>
      </c>
      <c r="T135">
        <v>278</v>
      </c>
      <c r="X135" t="s">
        <v>170</v>
      </c>
    </row>
    <row r="136" spans="6:25" x14ac:dyDescent="0.25">
      <c r="F136" s="140"/>
      <c r="G136" s="140" t="s">
        <v>251</v>
      </c>
      <c r="H136">
        <v>892</v>
      </c>
      <c r="I136">
        <v>753</v>
      </c>
      <c r="J136">
        <v>606</v>
      </c>
      <c r="P136" s="140"/>
      <c r="Q136" s="140" t="s">
        <v>251</v>
      </c>
      <c r="R136">
        <v>892</v>
      </c>
      <c r="S136">
        <v>753</v>
      </c>
      <c r="T136">
        <v>606</v>
      </c>
      <c r="X136" t="s">
        <v>171</v>
      </c>
    </row>
    <row r="141" spans="6:25" x14ac:dyDescent="0.25">
      <c r="F141" t="s">
        <v>460</v>
      </c>
    </row>
    <row r="142" spans="6:25" x14ac:dyDescent="0.25">
      <c r="F142" t="s">
        <v>461</v>
      </c>
    </row>
    <row r="143" spans="6:25" x14ac:dyDescent="0.25">
      <c r="F143" t="s">
        <v>462</v>
      </c>
    </row>
    <row r="146" spans="5:10" x14ac:dyDescent="0.25">
      <c r="G146" s="143" t="s">
        <v>463</v>
      </c>
      <c r="H146" t="s">
        <v>464</v>
      </c>
      <c r="J146" t="s">
        <v>465</v>
      </c>
    </row>
    <row r="147" spans="5:10" x14ac:dyDescent="0.25">
      <c r="E147" s="141" t="s">
        <v>466</v>
      </c>
      <c r="F147" s="85" t="s">
        <v>467</v>
      </c>
      <c r="G147" s="85">
        <v>2021</v>
      </c>
      <c r="H147" s="85">
        <v>2022</v>
      </c>
      <c r="I147" s="85"/>
      <c r="J147" s="85">
        <v>2023</v>
      </c>
    </row>
    <row r="148" spans="5:10" x14ac:dyDescent="0.25">
      <c r="E148" s="137" t="s">
        <v>468</v>
      </c>
      <c r="F148" t="s">
        <v>469</v>
      </c>
      <c r="G148">
        <v>650</v>
      </c>
      <c r="H148">
        <v>630</v>
      </c>
      <c r="J148">
        <v>590</v>
      </c>
    </row>
    <row r="149" spans="5:10" x14ac:dyDescent="0.25">
      <c r="F149" t="s">
        <v>470</v>
      </c>
      <c r="G149">
        <v>700</v>
      </c>
      <c r="H149">
        <v>680</v>
      </c>
      <c r="J149">
        <v>640</v>
      </c>
    </row>
    <row r="152" spans="5:10" x14ac:dyDescent="0.25">
      <c r="E152" s="141" t="s">
        <v>471</v>
      </c>
      <c r="F152" s="85" t="s">
        <v>467</v>
      </c>
      <c r="G152" s="85">
        <v>2020</v>
      </c>
      <c r="H152" s="85">
        <v>2021</v>
      </c>
      <c r="I152" s="85"/>
      <c r="J152" s="85">
        <v>2022</v>
      </c>
    </row>
    <row r="153" spans="5:10" x14ac:dyDescent="0.25">
      <c r="E153" s="137" t="s">
        <v>468</v>
      </c>
      <c r="F153" t="s">
        <v>469</v>
      </c>
      <c r="G153">
        <v>750</v>
      </c>
      <c r="H153">
        <v>730</v>
      </c>
      <c r="J153">
        <v>700</v>
      </c>
    </row>
    <row r="154" spans="5:10" x14ac:dyDescent="0.25">
      <c r="F154" t="s">
        <v>470</v>
      </c>
      <c r="G154">
        <v>770</v>
      </c>
      <c r="H154">
        <v>750</v>
      </c>
      <c r="J154">
        <v>740</v>
      </c>
    </row>
    <row r="158" spans="5:10" x14ac:dyDescent="0.25">
      <c r="F158" t="s">
        <v>472</v>
      </c>
    </row>
    <row r="160" spans="5:10" x14ac:dyDescent="0.25">
      <c r="F160">
        <f>G152</f>
        <v>2020</v>
      </c>
      <c r="G160">
        <f>G147</f>
        <v>2021</v>
      </c>
      <c r="H160">
        <f t="shared" ref="H160" si="1">H147</f>
        <v>2022</v>
      </c>
      <c r="I160">
        <f>J147</f>
        <v>2023</v>
      </c>
    </row>
    <row r="161" spans="4:25" x14ac:dyDescent="0.25">
      <c r="E161" t="s">
        <v>473</v>
      </c>
      <c r="G161">
        <f t="shared" ref="G161:H161" si="2">G148</f>
        <v>650</v>
      </c>
      <c r="H161">
        <f t="shared" si="2"/>
        <v>630</v>
      </c>
      <c r="I161">
        <f>J148</f>
        <v>590</v>
      </c>
    </row>
    <row r="162" spans="4:25" x14ac:dyDescent="0.25">
      <c r="E162" t="s">
        <v>474</v>
      </c>
      <c r="G162">
        <f t="shared" ref="G162:H162" si="3">G149</f>
        <v>700</v>
      </c>
      <c r="H162">
        <f t="shared" si="3"/>
        <v>680</v>
      </c>
      <c r="I162">
        <f>J149</f>
        <v>640</v>
      </c>
    </row>
    <row r="163" spans="4:25" x14ac:dyDescent="0.25">
      <c r="E163" t="s">
        <v>475</v>
      </c>
      <c r="F163">
        <f>G153</f>
        <v>750</v>
      </c>
      <c r="G163">
        <f>H153</f>
        <v>730</v>
      </c>
      <c r="H163">
        <f>J153</f>
        <v>700</v>
      </c>
    </row>
    <row r="164" spans="4:25" x14ac:dyDescent="0.25">
      <c r="E164" t="s">
        <v>476</v>
      </c>
      <c r="F164">
        <f>G154</f>
        <v>770</v>
      </c>
      <c r="G164">
        <f>H154</f>
        <v>750</v>
      </c>
      <c r="H164">
        <f>J154</f>
        <v>740</v>
      </c>
    </row>
    <row r="172" spans="4:25" x14ac:dyDescent="0.25">
      <c r="E172" t="s">
        <v>477</v>
      </c>
    </row>
    <row r="175" spans="4:25" x14ac:dyDescent="0.25">
      <c r="F175">
        <v>2019</v>
      </c>
      <c r="G175">
        <v>2020</v>
      </c>
      <c r="H175">
        <v>2021</v>
      </c>
      <c r="I175">
        <v>2022</v>
      </c>
      <c r="J175">
        <v>2023</v>
      </c>
      <c r="S175">
        <v>2030</v>
      </c>
      <c r="T175">
        <v>2050</v>
      </c>
      <c r="V175" t="s">
        <v>478</v>
      </c>
      <c r="W175" t="s">
        <v>479</v>
      </c>
      <c r="X175" s="140" t="s">
        <v>480</v>
      </c>
    </row>
    <row r="176" spans="4:25" x14ac:dyDescent="0.25">
      <c r="D176" s="137" t="s">
        <v>481</v>
      </c>
      <c r="E176" t="s">
        <v>482</v>
      </c>
      <c r="F176">
        <v>270</v>
      </c>
      <c r="G176" s="85">
        <v>255</v>
      </c>
      <c r="H176">
        <v>240</v>
      </c>
      <c r="I176">
        <v>230</v>
      </c>
      <c r="J176">
        <v>220</v>
      </c>
      <c r="S176" t="s">
        <v>483</v>
      </c>
      <c r="V176" t="s">
        <v>484</v>
      </c>
      <c r="X176">
        <v>10</v>
      </c>
      <c r="Y176">
        <v>20</v>
      </c>
    </row>
    <row r="177" spans="3:31" x14ac:dyDescent="0.25">
      <c r="D177" s="137" t="s">
        <v>485</v>
      </c>
      <c r="E177" t="s">
        <v>482</v>
      </c>
      <c r="G177">
        <v>42</v>
      </c>
      <c r="H177">
        <v>37</v>
      </c>
      <c r="I177">
        <v>36</v>
      </c>
      <c r="J177">
        <v>36</v>
      </c>
      <c r="R177" t="s">
        <v>249</v>
      </c>
      <c r="S177" s="144">
        <f>S135/$R135</f>
        <v>0.73051519154557465</v>
      </c>
      <c r="T177" s="144">
        <f>T135/$R135</f>
        <v>0.36723910171730517</v>
      </c>
      <c r="U177" t="s">
        <v>486</v>
      </c>
      <c r="V177" s="172">
        <f>(1+S177)^(1/10)-1</f>
        <v>5.6373606001355547E-2</v>
      </c>
      <c r="W177" s="172">
        <f>(1+T177)^(1/20)-1</f>
        <v>1.5762612369160545E-2</v>
      </c>
      <c r="X177" s="144">
        <f>(1+V177)^X$176</f>
        <v>1.730515191545573</v>
      </c>
      <c r="Y177" s="144">
        <f t="shared" ref="Y177:Y178" si="4">(1+W177)^Y$176</f>
        <v>1.3672391017173062</v>
      </c>
    </row>
    <row r="178" spans="3:31" x14ac:dyDescent="0.25">
      <c r="D178" s="137" t="s">
        <v>487</v>
      </c>
      <c r="E178" t="s">
        <v>482</v>
      </c>
      <c r="G178" s="85">
        <v>20</v>
      </c>
      <c r="H178">
        <v>20</v>
      </c>
      <c r="I178">
        <v>20</v>
      </c>
      <c r="J178">
        <v>60</v>
      </c>
      <c r="N178" s="85" t="s">
        <v>488</v>
      </c>
      <c r="R178" t="s">
        <v>251</v>
      </c>
      <c r="S178" s="144">
        <f>S136/$R136</f>
        <v>0.844170403587444</v>
      </c>
      <c r="T178" s="144">
        <f>T136/$R136</f>
        <v>0.679372197309417</v>
      </c>
      <c r="U178" t="s">
        <v>486</v>
      </c>
      <c r="V178" s="172">
        <f t="shared" ref="V178" si="5">(1+S178)^(1/10)-1</f>
        <v>6.3114654668223968E-2</v>
      </c>
      <c r="W178" s="172">
        <f>(1+T178)^(1/20)-1</f>
        <v>2.6259872357338621E-2</v>
      </c>
      <c r="X178" s="144">
        <f t="shared" ref="X178" si="6">(1+V178)^X$176</f>
        <v>1.8441704035874436</v>
      </c>
      <c r="Y178" s="144">
        <f t="shared" si="4"/>
        <v>1.6793721973094158</v>
      </c>
      <c r="AB178">
        <v>2020</v>
      </c>
      <c r="AC178">
        <v>2030</v>
      </c>
      <c r="AD178">
        <v>2050</v>
      </c>
    </row>
    <row r="179" spans="3:31" x14ac:dyDescent="0.25">
      <c r="AA179" s="137" t="s">
        <v>489</v>
      </c>
      <c r="AB179">
        <f>AG198</f>
        <v>1000</v>
      </c>
      <c r="AC179" s="136">
        <f>$AB179*S177</f>
        <v>730.51519154557468</v>
      </c>
      <c r="AD179" s="136">
        <f>$AB179*T177</f>
        <v>367.23910171730518</v>
      </c>
      <c r="AE179" t="s">
        <v>490</v>
      </c>
    </row>
    <row r="180" spans="3:31" x14ac:dyDescent="0.25">
      <c r="D180" s="137"/>
      <c r="G180">
        <f>G175</f>
        <v>2020</v>
      </c>
      <c r="H180">
        <f t="shared" ref="H180:J180" si="7">H175</f>
        <v>2021</v>
      </c>
      <c r="I180">
        <f t="shared" si="7"/>
        <v>2022</v>
      </c>
      <c r="J180">
        <f t="shared" si="7"/>
        <v>2023</v>
      </c>
      <c r="R180">
        <v>2020</v>
      </c>
      <c r="S180">
        <v>2030</v>
      </c>
      <c r="T180">
        <v>2050</v>
      </c>
      <c r="AA180" s="137" t="s">
        <v>491</v>
      </c>
      <c r="AB180">
        <f>AG199</f>
        <v>1200</v>
      </c>
      <c r="AC180" s="136">
        <f>$AB180*S178</f>
        <v>1013.0044843049328</v>
      </c>
      <c r="AD180" s="136">
        <f>$AB180*T178</f>
        <v>815.24663677130036</v>
      </c>
      <c r="AE180" t="s">
        <v>490</v>
      </c>
    </row>
    <row r="181" spans="3:31" x14ac:dyDescent="0.25">
      <c r="C181" s="137" t="s">
        <v>492</v>
      </c>
      <c r="D181" t="s">
        <v>469</v>
      </c>
      <c r="E181" t="s">
        <v>482</v>
      </c>
      <c r="H181">
        <f>G148</f>
        <v>650</v>
      </c>
      <c r="N181" s="137" t="s">
        <v>492</v>
      </c>
      <c r="O181" t="s">
        <v>469</v>
      </c>
      <c r="P181" t="s">
        <v>493</v>
      </c>
      <c r="R181">
        <f>$G$188+H192</f>
        <v>670</v>
      </c>
      <c r="S181" s="136">
        <f>S$177*$R181</f>
        <v>489.44517833553499</v>
      </c>
      <c r="T181" s="136">
        <f>T$177*$R181</f>
        <v>246.05019815059447</v>
      </c>
      <c r="X181" s="137"/>
      <c r="AA181" s="137" t="str">
        <f>N181&amp;" "&amp;O181</f>
        <v>Totaal &lt; 1 MWp Min (NJ)</v>
      </c>
      <c r="AB181" s="136">
        <f>R181*$R$191</f>
        <v>638.72788285539957</v>
      </c>
      <c r="AC181" s="136">
        <f>S181*$R$191</f>
        <v>466.60042168961161</v>
      </c>
      <c r="AD181" s="136">
        <f t="shared" ref="AD181:AD186" si="8">T181*$R$191</f>
        <v>234.56585394161308</v>
      </c>
      <c r="AE181" t="s">
        <v>490</v>
      </c>
    </row>
    <row r="182" spans="3:31" x14ac:dyDescent="0.25">
      <c r="D182" t="s">
        <v>470</v>
      </c>
      <c r="E182" t="s">
        <v>482</v>
      </c>
      <c r="H182">
        <f>G149</f>
        <v>700</v>
      </c>
      <c r="N182" s="137"/>
      <c r="O182" t="s">
        <v>470</v>
      </c>
      <c r="P182" t="s">
        <v>493</v>
      </c>
      <c r="R182">
        <f>$G$188+H193</f>
        <v>720</v>
      </c>
      <c r="S182" s="136">
        <f>S$178*$R182</f>
        <v>607.80269058295971</v>
      </c>
      <c r="T182" s="136">
        <f>T$178*$R182</f>
        <v>489.14798206278022</v>
      </c>
      <c r="X182" s="137"/>
      <c r="AA182" s="137" t="str">
        <f>N181&amp;" "&amp;O182</f>
        <v>Totaal &lt; 1 MWp Max (VJ)</v>
      </c>
      <c r="AB182" s="136">
        <f t="shared" ref="AB182:AB186" si="9">R182*$R$191</f>
        <v>686.39414276998161</v>
      </c>
      <c r="AC182" s="136">
        <f t="shared" ref="AC182:AC186" si="10">S182*$R$191</f>
        <v>579.43362052219311</v>
      </c>
      <c r="AD182" s="136">
        <f t="shared" si="8"/>
        <v>466.31709699395611</v>
      </c>
      <c r="AE182" t="s">
        <v>490</v>
      </c>
    </row>
    <row r="183" spans="3:31" x14ac:dyDescent="0.25">
      <c r="C183" s="137" t="s">
        <v>494</v>
      </c>
      <c r="D183" t="s">
        <v>469</v>
      </c>
      <c r="E183" t="s">
        <v>482</v>
      </c>
      <c r="I183">
        <f>H148</f>
        <v>630</v>
      </c>
      <c r="N183" s="137" t="s">
        <v>494</v>
      </c>
      <c r="O183" t="s">
        <v>469</v>
      </c>
      <c r="P183" t="s">
        <v>493</v>
      </c>
      <c r="R183">
        <f>$G$188+I194</f>
        <v>661</v>
      </c>
      <c r="S183" s="136">
        <f>S$177*$R183</f>
        <v>482.87054161162484</v>
      </c>
      <c r="T183" s="136">
        <f>T$177*$R183</f>
        <v>242.74504623513872</v>
      </c>
      <c r="X183" s="137"/>
      <c r="AA183" s="137" t="str">
        <f>N183&amp;" "&amp;O183</f>
        <v>Totaal &gt; 1 MWp dak Min (NJ)</v>
      </c>
      <c r="AB183" s="136">
        <f t="shared" si="9"/>
        <v>630.14795607077485</v>
      </c>
      <c r="AC183" s="136">
        <f t="shared" si="10"/>
        <v>460.33265483109443</v>
      </c>
      <c r="AD183" s="136">
        <f t="shared" si="8"/>
        <v>231.41496933642722</v>
      </c>
      <c r="AE183" t="s">
        <v>490</v>
      </c>
    </row>
    <row r="184" spans="3:31" x14ac:dyDescent="0.25">
      <c r="D184" t="s">
        <v>470</v>
      </c>
      <c r="E184" t="s">
        <v>482</v>
      </c>
      <c r="I184">
        <f>H149</f>
        <v>680</v>
      </c>
      <c r="N184" s="137"/>
      <c r="O184" t="s">
        <v>470</v>
      </c>
      <c r="P184" t="s">
        <v>493</v>
      </c>
      <c r="R184">
        <f>$G$188+I195</f>
        <v>711</v>
      </c>
      <c r="S184" s="136">
        <f>S$178*$R184</f>
        <v>600.20515695067263</v>
      </c>
      <c r="T184" s="136">
        <f>T$178*$R184</f>
        <v>483.0336322869955</v>
      </c>
      <c r="X184" s="137"/>
      <c r="AA184" s="137" t="str">
        <f>N183&amp;" "&amp;O184</f>
        <v>Totaal &gt; 1 MWp dak Max (VJ)</v>
      </c>
      <c r="AB184" s="136">
        <f t="shared" si="9"/>
        <v>677.8142159853569</v>
      </c>
      <c r="AC184" s="136">
        <f t="shared" si="10"/>
        <v>572.19070026566567</v>
      </c>
      <c r="AD184" s="136">
        <f t="shared" si="8"/>
        <v>460.4881332815317</v>
      </c>
      <c r="AE184" t="s">
        <v>490</v>
      </c>
    </row>
    <row r="185" spans="3:31" x14ac:dyDescent="0.25">
      <c r="C185" s="137" t="s">
        <v>495</v>
      </c>
      <c r="D185" t="s">
        <v>469</v>
      </c>
      <c r="E185" t="s">
        <v>482</v>
      </c>
      <c r="J185">
        <f>J148</f>
        <v>590</v>
      </c>
      <c r="N185" s="137" t="s">
        <v>495</v>
      </c>
      <c r="O185" t="s">
        <v>469</v>
      </c>
      <c r="P185" t="s">
        <v>493</v>
      </c>
      <c r="R185">
        <f>$G$188+J196</f>
        <v>591</v>
      </c>
      <c r="S185" s="136">
        <f>S$177*$R185</f>
        <v>431.73447820343461</v>
      </c>
      <c r="T185" s="136">
        <f>T$177*$R185</f>
        <v>217.03830911492736</v>
      </c>
      <c r="X185" s="137"/>
      <c r="AA185" s="137" t="str">
        <f>N185&amp;" "&amp;O185</f>
        <v>Totaal &gt; 1 MWp veld Min (NJ)</v>
      </c>
      <c r="AB185" s="136">
        <f t="shared" si="9"/>
        <v>563.4151921903599</v>
      </c>
      <c r="AC185" s="136">
        <f t="shared" si="10"/>
        <v>411.58335704262754</v>
      </c>
      <c r="AD185" s="136">
        <f t="shared" si="8"/>
        <v>206.90808907387063</v>
      </c>
      <c r="AE185" t="s">
        <v>490</v>
      </c>
    </row>
    <row r="186" spans="3:31" x14ac:dyDescent="0.25">
      <c r="D186" t="s">
        <v>470</v>
      </c>
      <c r="E186" t="s">
        <v>482</v>
      </c>
      <c r="J186">
        <f>J149</f>
        <v>640</v>
      </c>
      <c r="O186" t="s">
        <v>470</v>
      </c>
      <c r="P186" t="s">
        <v>493</v>
      </c>
      <c r="R186">
        <f>$G$188+J197</f>
        <v>641</v>
      </c>
      <c r="S186" s="136">
        <f>S$178*$R186</f>
        <v>541.11322869955166</v>
      </c>
      <c r="T186" s="136">
        <f>T$178*$R186</f>
        <v>435.47757847533632</v>
      </c>
      <c r="AA186" s="137" t="str">
        <f>N185&amp;" "&amp;O186</f>
        <v>Totaal &gt; 1 MWp veld Max (VJ)</v>
      </c>
      <c r="AB186" s="136">
        <f t="shared" si="9"/>
        <v>611.08145210494206</v>
      </c>
      <c r="AC186" s="136">
        <f t="shared" si="10"/>
        <v>515.85687604823022</v>
      </c>
      <c r="AD186" s="136">
        <f t="shared" si="8"/>
        <v>415.15174885156375</v>
      </c>
      <c r="AE186" t="s">
        <v>490</v>
      </c>
    </row>
    <row r="188" spans="3:31" x14ac:dyDescent="0.25">
      <c r="D188" s="137" t="s">
        <v>496</v>
      </c>
      <c r="E188" t="s">
        <v>482</v>
      </c>
      <c r="G188">
        <f>SUM(G176:G178)</f>
        <v>317</v>
      </c>
      <c r="H188">
        <f>SUM(H176:H178)</f>
        <v>297</v>
      </c>
      <c r="I188">
        <f>SUM(I176:I178)</f>
        <v>286</v>
      </c>
      <c r="J188">
        <f>SUM(J176:J178)</f>
        <v>316</v>
      </c>
    </row>
    <row r="189" spans="3:31" x14ac:dyDescent="0.25">
      <c r="P189" t="s">
        <v>497</v>
      </c>
      <c r="Y189" s="138" t="s">
        <v>498</v>
      </c>
    </row>
    <row r="190" spans="3:31" x14ac:dyDescent="0.25">
      <c r="F190" s="137" t="s">
        <v>499</v>
      </c>
      <c r="G190" t="s">
        <v>482</v>
      </c>
      <c r="Y190" s="238" t="s">
        <v>500</v>
      </c>
    </row>
    <row r="191" spans="3:31" x14ac:dyDescent="0.25">
      <c r="F191">
        <f>F175</f>
        <v>2019</v>
      </c>
      <c r="G191">
        <f t="shared" ref="G191:J191" si="11">G175</f>
        <v>2020</v>
      </c>
      <c r="H191">
        <f t="shared" si="11"/>
        <v>2021</v>
      </c>
      <c r="I191">
        <f t="shared" si="11"/>
        <v>2022</v>
      </c>
      <c r="J191">
        <f t="shared" si="11"/>
        <v>2023</v>
      </c>
      <c r="Q191" s="137" t="s">
        <v>501</v>
      </c>
      <c r="R191">
        <f>Y127/Y131</f>
        <v>0.9533251982916412</v>
      </c>
      <c r="S191" t="s">
        <v>502</v>
      </c>
      <c r="Y191" s="238" t="s">
        <v>503</v>
      </c>
    </row>
    <row r="192" spans="3:31" x14ac:dyDescent="0.25">
      <c r="C192" s="137" t="s">
        <v>492</v>
      </c>
      <c r="D192" t="s">
        <v>469</v>
      </c>
      <c r="E192" t="s">
        <v>482</v>
      </c>
      <c r="H192">
        <f>H181-H$188</f>
        <v>353</v>
      </c>
      <c r="Y192" s="160" t="s">
        <v>504</v>
      </c>
    </row>
    <row r="193" spans="2:33" ht="17.25" x14ac:dyDescent="0.25">
      <c r="D193" t="s">
        <v>470</v>
      </c>
      <c r="E193" t="s">
        <v>482</v>
      </c>
      <c r="H193">
        <f>H182-H$188</f>
        <v>403</v>
      </c>
      <c r="Y193" s="160" t="s">
        <v>505</v>
      </c>
    </row>
    <row r="194" spans="2:33" x14ac:dyDescent="0.25">
      <c r="C194" s="137" t="s">
        <v>494</v>
      </c>
      <c r="D194" t="s">
        <v>469</v>
      </c>
      <c r="E194" t="s">
        <v>482</v>
      </c>
      <c r="I194">
        <f t="shared" ref="I194:I195" si="12">I183-I$188</f>
        <v>344</v>
      </c>
      <c r="Y194" s="160"/>
    </row>
    <row r="195" spans="2:33" x14ac:dyDescent="0.25">
      <c r="D195" t="s">
        <v>470</v>
      </c>
      <c r="E195" t="s">
        <v>482</v>
      </c>
      <c r="I195">
        <f t="shared" si="12"/>
        <v>394</v>
      </c>
      <c r="Y195" s="161" t="s">
        <v>436</v>
      </c>
      <c r="Z195" s="239" t="s">
        <v>438</v>
      </c>
      <c r="AC195" t="s">
        <v>506</v>
      </c>
    </row>
    <row r="196" spans="2:33" x14ac:dyDescent="0.25">
      <c r="C196" s="137" t="s">
        <v>495</v>
      </c>
      <c r="D196" t="s">
        <v>469</v>
      </c>
      <c r="E196" t="s">
        <v>482</v>
      </c>
      <c r="J196">
        <f>J185-J$188</f>
        <v>274</v>
      </c>
      <c r="Y196" s="240">
        <v>1</v>
      </c>
      <c r="Z196" s="240">
        <v>1708</v>
      </c>
      <c r="AB196">
        <v>2</v>
      </c>
      <c r="AC196">
        <v>5</v>
      </c>
      <c r="AD196">
        <v>10</v>
      </c>
      <c r="AF196" t="s">
        <v>507</v>
      </c>
    </row>
    <row r="197" spans="2:33" x14ac:dyDescent="0.25">
      <c r="D197" t="s">
        <v>470</v>
      </c>
      <c r="E197" t="s">
        <v>482</v>
      </c>
      <c r="J197">
        <f>J186-J$188</f>
        <v>324</v>
      </c>
      <c r="Y197" s="240">
        <v>2</v>
      </c>
      <c r="Z197" s="240">
        <v>1312</v>
      </c>
      <c r="AB197">
        <f>Z197</f>
        <v>1312</v>
      </c>
      <c r="AC197" s="136">
        <f>AB197-((AC196-AB196)/(AD196-AB196))*(AB197-AD197)</f>
        <v>1176.625</v>
      </c>
      <c r="AD197">
        <f>Z198</f>
        <v>951</v>
      </c>
      <c r="AF197" t="s">
        <v>508</v>
      </c>
    </row>
    <row r="198" spans="2:33" x14ac:dyDescent="0.25">
      <c r="Y198" s="240">
        <v>10</v>
      </c>
      <c r="Z198" s="240">
        <v>951</v>
      </c>
      <c r="AF198" t="s">
        <v>509</v>
      </c>
      <c r="AG198">
        <v>1000</v>
      </c>
    </row>
    <row r="199" spans="2:33" x14ac:dyDescent="0.25">
      <c r="Y199" s="240">
        <v>20</v>
      </c>
      <c r="Z199" s="240">
        <v>868</v>
      </c>
      <c r="AC199" t="s">
        <v>506</v>
      </c>
      <c r="AF199" t="s">
        <v>510</v>
      </c>
      <c r="AG199">
        <v>1200</v>
      </c>
    </row>
    <row r="200" spans="2:33" x14ac:dyDescent="0.25">
      <c r="G200" t="s">
        <v>511</v>
      </c>
      <c r="Y200" s="240">
        <v>50</v>
      </c>
      <c r="Z200" s="240">
        <v>806</v>
      </c>
      <c r="AC200">
        <f>AC197*$R$191</f>
        <v>1121.7062614399024</v>
      </c>
    </row>
    <row r="201" spans="2:33" x14ac:dyDescent="0.25">
      <c r="B201" t="s">
        <v>512</v>
      </c>
      <c r="G201" t="s">
        <v>513</v>
      </c>
      <c r="Y201" s="240">
        <v>100</v>
      </c>
      <c r="Z201" s="240">
        <v>782</v>
      </c>
    </row>
    <row r="203" spans="2:33" ht="16.5" customHeight="1" thickBot="1" x14ac:dyDescent="0.3">
      <c r="O203" s="405" t="s">
        <v>514</v>
      </c>
      <c r="P203" s="405"/>
      <c r="Q203" s="405"/>
      <c r="R203" s="405"/>
      <c r="S203" s="405"/>
      <c r="T203" s="405"/>
      <c r="U203" s="405"/>
      <c r="V203" s="405"/>
      <c r="W203" s="405"/>
      <c r="X203" s="405"/>
      <c r="Y203" s="405"/>
      <c r="Z203" s="405"/>
      <c r="AA203" s="405"/>
      <c r="AB203" s="405"/>
      <c r="AC203" s="405"/>
      <c r="AD203" s="405"/>
      <c r="AE203" s="405"/>
      <c r="AF203" s="405"/>
      <c r="AG203" s="405"/>
    </row>
    <row r="204" spans="2:33" ht="31.5" x14ac:dyDescent="0.25">
      <c r="O204" s="584" t="s">
        <v>515</v>
      </c>
      <c r="P204" s="145" t="s">
        <v>516</v>
      </c>
      <c r="Q204" s="145" t="s">
        <v>517</v>
      </c>
      <c r="R204" s="586" t="s">
        <v>518</v>
      </c>
      <c r="S204" s="145" t="s">
        <v>519</v>
      </c>
      <c r="T204" s="145" t="s">
        <v>519</v>
      </c>
    </row>
    <row r="205" spans="2:33" ht="53.25" thickBot="1" x14ac:dyDescent="0.3">
      <c r="O205" s="585"/>
      <c r="P205" s="146" t="s">
        <v>520</v>
      </c>
      <c r="Q205" s="146" t="s">
        <v>521</v>
      </c>
      <c r="R205" s="587"/>
      <c r="S205" s="146" t="s">
        <v>522</v>
      </c>
      <c r="T205" s="146" t="s">
        <v>523</v>
      </c>
    </row>
    <row r="206" spans="2:33" ht="21.75" thickBot="1" x14ac:dyDescent="0.3">
      <c r="O206" s="147" t="s">
        <v>524</v>
      </c>
      <c r="P206" s="148">
        <v>7.5</v>
      </c>
      <c r="Q206" s="148">
        <v>7</v>
      </c>
      <c r="R206" s="148">
        <v>5.5</v>
      </c>
      <c r="S206" s="148">
        <v>8.25</v>
      </c>
      <c r="T206" s="148">
        <v>8.25</v>
      </c>
    </row>
    <row r="207" spans="2:33" ht="21.75" thickBot="1" x14ac:dyDescent="0.3">
      <c r="O207" s="147" t="s">
        <v>525</v>
      </c>
      <c r="P207" s="148">
        <v>3</v>
      </c>
      <c r="Q207" s="148">
        <v>0.4</v>
      </c>
      <c r="R207" s="148">
        <v>0.2</v>
      </c>
      <c r="S207" s="148">
        <v>0.2</v>
      </c>
      <c r="T207" s="148">
        <v>0.2</v>
      </c>
    </row>
    <row r="208" spans="2:33" ht="21.75" thickBot="1" x14ac:dyDescent="0.3">
      <c r="O208" s="147" t="s">
        <v>526</v>
      </c>
      <c r="P208" s="148">
        <v>1</v>
      </c>
      <c r="Q208" s="148">
        <v>1</v>
      </c>
      <c r="R208" s="148">
        <v>1</v>
      </c>
      <c r="S208" s="148">
        <v>1</v>
      </c>
      <c r="T208" s="148">
        <v>1</v>
      </c>
    </row>
    <row r="209" spans="14:35" ht="21.75" thickBot="1" x14ac:dyDescent="0.3">
      <c r="O209" s="147" t="s">
        <v>527</v>
      </c>
      <c r="P209" s="148">
        <v>0</v>
      </c>
      <c r="Q209" s="148">
        <v>0</v>
      </c>
      <c r="R209" s="148">
        <v>0.5</v>
      </c>
      <c r="S209" s="148">
        <v>0.5</v>
      </c>
      <c r="T209" s="148">
        <v>0.5</v>
      </c>
    </row>
    <row r="210" spans="14:35" ht="42.75" thickBot="1" x14ac:dyDescent="0.3">
      <c r="O210" s="147" t="s">
        <v>528</v>
      </c>
      <c r="P210" s="148">
        <v>2</v>
      </c>
      <c r="Q210" s="148">
        <v>2</v>
      </c>
      <c r="R210" s="148">
        <v>2</v>
      </c>
      <c r="S210" s="148">
        <v>2</v>
      </c>
      <c r="T210" s="148">
        <v>2</v>
      </c>
      <c r="U210" t="s">
        <v>529</v>
      </c>
    </row>
    <row r="211" spans="14:35" ht="53.25" thickBot="1" x14ac:dyDescent="0.3">
      <c r="N211">
        <v>2020</v>
      </c>
      <c r="O211" s="147" t="s">
        <v>530</v>
      </c>
      <c r="P211" s="151">
        <f>$U211*AVERAGE(R$181:R$182)</f>
        <v>2.7800000000000002</v>
      </c>
      <c r="Q211" s="151">
        <f>$U211*AVERAGE(R$183:R$184)</f>
        <v>2.7440000000000002</v>
      </c>
      <c r="R211" s="151">
        <f>$U211*AVERAGE(R$185:R$186)</f>
        <v>2.464</v>
      </c>
      <c r="S211" s="151">
        <f>R211</f>
        <v>2.464</v>
      </c>
      <c r="T211" s="151">
        <f t="shared" ref="T211:T213" si="13">S211</f>
        <v>2.464</v>
      </c>
      <c r="U211" s="150">
        <v>4.0000000000000001E-3</v>
      </c>
    </row>
    <row r="212" spans="14:35" ht="53.25" thickBot="1" x14ac:dyDescent="0.3">
      <c r="N212">
        <v>2030</v>
      </c>
      <c r="O212" s="147" t="s">
        <v>531</v>
      </c>
      <c r="P212" s="151">
        <f>$U212*AVERAGE(S$181:S$182)</f>
        <v>2.1944957378369896</v>
      </c>
      <c r="Q212" s="151">
        <f>$U212*AVERAGE(S$183:S$184)</f>
        <v>2.1661513971245951</v>
      </c>
      <c r="R212" s="151">
        <f>$U212*AVERAGE(S$185:S$186)</f>
        <v>1.9456954138059726</v>
      </c>
      <c r="S212" s="151">
        <f t="shared" ref="S212" si="14">R212</f>
        <v>1.9456954138059726</v>
      </c>
      <c r="T212" s="151">
        <f t="shared" si="13"/>
        <v>1.9456954138059726</v>
      </c>
      <c r="U212" s="150">
        <v>4.0000000000000001E-3</v>
      </c>
    </row>
    <row r="213" spans="14:35" ht="53.25" thickBot="1" x14ac:dyDescent="0.3">
      <c r="N213">
        <v>2050</v>
      </c>
      <c r="O213" s="147" t="s">
        <v>532</v>
      </c>
      <c r="P213" s="151">
        <f>$U213*AVERAGE(T$181:T$182)</f>
        <v>1.4703963604267494</v>
      </c>
      <c r="Q213" s="151">
        <f>$U213*AVERAGE(T$183:T$184)</f>
        <v>1.4515573570442684</v>
      </c>
      <c r="R213" s="151">
        <f>$U213*AVERAGE(T$185:T$186)</f>
        <v>1.3050317751805274</v>
      </c>
      <c r="S213" s="151">
        <f t="shared" ref="S213" si="15">R213</f>
        <v>1.3050317751805274</v>
      </c>
      <c r="T213" s="151">
        <f t="shared" si="13"/>
        <v>1.3050317751805274</v>
      </c>
      <c r="U213" s="150">
        <v>4.0000000000000001E-3</v>
      </c>
    </row>
    <row r="215" spans="14:35" x14ac:dyDescent="0.25">
      <c r="O215" s="152" t="s">
        <v>533</v>
      </c>
      <c r="P215" s="85" t="s">
        <v>534</v>
      </c>
    </row>
    <row r="217" spans="14:35" x14ac:dyDescent="0.25">
      <c r="O217" s="137" t="s">
        <v>535</v>
      </c>
      <c r="P217">
        <v>0</v>
      </c>
      <c r="Q217">
        <v>0</v>
      </c>
      <c r="R217">
        <v>0.5</v>
      </c>
      <c r="S217">
        <v>0.5</v>
      </c>
      <c r="T217">
        <v>0.5</v>
      </c>
      <c r="X217" t="s">
        <v>536</v>
      </c>
    </row>
    <row r="218" spans="14:35" x14ac:dyDescent="0.25">
      <c r="O218" s="137" t="s">
        <v>537</v>
      </c>
      <c r="P218">
        <v>1</v>
      </c>
      <c r="Q218">
        <v>2</v>
      </c>
      <c r="R218">
        <v>2</v>
      </c>
      <c r="S218">
        <v>2</v>
      </c>
      <c r="T218">
        <v>2</v>
      </c>
      <c r="X218" t="str">
        <f>S73</f>
        <v>Zuidopstelling</v>
      </c>
      <c r="Z218">
        <f>V73</f>
        <v>1000</v>
      </c>
      <c r="AA218" t="str">
        <f>T73</f>
        <v>kWp/ha</v>
      </c>
    </row>
    <row r="219" spans="14:35" x14ac:dyDescent="0.25">
      <c r="O219" s="137" t="s">
        <v>538</v>
      </c>
      <c r="P219">
        <v>0</v>
      </c>
      <c r="Q219">
        <f>5000/$Z218</f>
        <v>5</v>
      </c>
      <c r="R219">
        <f t="shared" ref="R219:T219" si="16">5000/$Z218</f>
        <v>5</v>
      </c>
      <c r="S219">
        <f t="shared" si="16"/>
        <v>5</v>
      </c>
      <c r="T219">
        <f t="shared" si="16"/>
        <v>5</v>
      </c>
      <c r="U219" t="s">
        <v>539</v>
      </c>
      <c r="X219" t="str">
        <f>S74</f>
        <v>Oost-westopstelling</v>
      </c>
      <c r="Z219">
        <f>V74</f>
        <v>1200</v>
      </c>
      <c r="AA219" t="str">
        <f>T74</f>
        <v>kWp/ha</v>
      </c>
    </row>
    <row r="220" spans="14:35" x14ac:dyDescent="0.25">
      <c r="O220" s="137" t="s">
        <v>540</v>
      </c>
      <c r="P220">
        <f>P219</f>
        <v>0</v>
      </c>
      <c r="Q220" s="135">
        <f>5000/$Z219</f>
        <v>4.166666666666667</v>
      </c>
      <c r="R220" s="135">
        <f t="shared" ref="R220" si="17">5000/$Z219</f>
        <v>4.166666666666667</v>
      </c>
      <c r="S220" s="135">
        <f t="shared" ref="S220" si="18">5000/$Z219</f>
        <v>4.166666666666667</v>
      </c>
      <c r="T220" s="135">
        <f t="shared" ref="T220" si="19">5000/$Z219</f>
        <v>4.166666666666667</v>
      </c>
      <c r="X220" t="str">
        <f>S75</f>
        <v>Zonvolgend</v>
      </c>
      <c r="Z220">
        <f>V75</f>
        <v>500</v>
      </c>
      <c r="AA220" t="str">
        <f>T75</f>
        <v>kWp/ha</v>
      </c>
    </row>
    <row r="221" spans="14:35" ht="32.25" thickBot="1" x14ac:dyDescent="0.3">
      <c r="N221" t="s">
        <v>541</v>
      </c>
      <c r="O221" s="149" t="s">
        <v>542</v>
      </c>
      <c r="P221" s="153">
        <f t="shared" ref="P221:Q223" si="20">SUM(P$206:P$210)+SUM(P$217:P$219)+P211</f>
        <v>17.28</v>
      </c>
      <c r="Q221" s="153">
        <f t="shared" si="20"/>
        <v>20.143999999999998</v>
      </c>
      <c r="R221" s="153">
        <f t="shared" ref="R221:T221" si="21">SUM(R$206:R$210)+SUM(R$217:R$219)+R211</f>
        <v>19.163999999999998</v>
      </c>
      <c r="S221" s="153">
        <f t="shared" si="21"/>
        <v>21.913999999999998</v>
      </c>
      <c r="T221" s="153">
        <f t="shared" si="21"/>
        <v>21.913999999999998</v>
      </c>
      <c r="U221" t="s">
        <v>506</v>
      </c>
      <c r="W221" t="s">
        <v>543</v>
      </c>
      <c r="AC221" s="149" t="s">
        <v>542</v>
      </c>
      <c r="AD221" s="153">
        <f>P221-P$219+P$220</f>
        <v>17.28</v>
      </c>
      <c r="AE221" s="153">
        <f t="shared" ref="AE221:AE223" si="22">Q221-Q$219+Q$220</f>
        <v>19.310666666666666</v>
      </c>
      <c r="AF221" s="153">
        <f t="shared" ref="AF221:AF223" si="23">R221-R$219+R$220</f>
        <v>18.330666666666666</v>
      </c>
      <c r="AG221" s="153">
        <f t="shared" ref="AG221:AG223" si="24">S221-S$219+S$220</f>
        <v>21.080666666666666</v>
      </c>
      <c r="AH221" s="153">
        <f t="shared" ref="AH221:AH223" si="25">T221-T$219+T$220</f>
        <v>21.080666666666666</v>
      </c>
      <c r="AI221" t="s">
        <v>506</v>
      </c>
    </row>
    <row r="222" spans="14:35" ht="32.25" thickBot="1" x14ac:dyDescent="0.3">
      <c r="O222" s="149" t="s">
        <v>544</v>
      </c>
      <c r="P222" s="153">
        <f t="shared" si="20"/>
        <v>16.694495737836988</v>
      </c>
      <c r="Q222" s="153">
        <f t="shared" si="20"/>
        <v>19.566151397124592</v>
      </c>
      <c r="R222" s="153">
        <f t="shared" ref="R222:T222" si="26">SUM(R$206:R$210)+SUM(R$217:R$219)+R212</f>
        <v>18.645695413805971</v>
      </c>
      <c r="S222" s="153">
        <f t="shared" si="26"/>
        <v>21.395695413805971</v>
      </c>
      <c r="T222" s="153">
        <f t="shared" si="26"/>
        <v>21.395695413805971</v>
      </c>
      <c r="U222" t="s">
        <v>506</v>
      </c>
      <c r="W222" t="s">
        <v>545</v>
      </c>
      <c r="AC222" s="149" t="s">
        <v>544</v>
      </c>
      <c r="AD222" s="153">
        <f t="shared" ref="AD222:AD223" si="27">P222-P$219+P$220</f>
        <v>16.694495737836988</v>
      </c>
      <c r="AE222" s="153">
        <f t="shared" si="22"/>
        <v>18.73281806379126</v>
      </c>
      <c r="AF222" s="153">
        <f t="shared" si="23"/>
        <v>17.812362080472639</v>
      </c>
      <c r="AG222" s="153">
        <f t="shared" si="24"/>
        <v>20.562362080472639</v>
      </c>
      <c r="AH222" s="153">
        <f t="shared" si="25"/>
        <v>20.562362080472639</v>
      </c>
      <c r="AI222" t="s">
        <v>506</v>
      </c>
    </row>
    <row r="223" spans="14:35" ht="32.25" thickBot="1" x14ac:dyDescent="0.3">
      <c r="O223" s="149" t="s">
        <v>546</v>
      </c>
      <c r="P223" s="153">
        <f t="shared" si="20"/>
        <v>15.970396360426749</v>
      </c>
      <c r="Q223" s="153">
        <f t="shared" si="20"/>
        <v>18.851557357044268</v>
      </c>
      <c r="R223" s="153">
        <f t="shared" ref="R223:T223" si="28">SUM(R$206:R$210)+SUM(R$217:R$219)+R213</f>
        <v>18.005031775180527</v>
      </c>
      <c r="S223" s="153">
        <f t="shared" si="28"/>
        <v>20.755031775180527</v>
      </c>
      <c r="T223" s="153">
        <f t="shared" si="28"/>
        <v>20.755031775180527</v>
      </c>
      <c r="U223" t="s">
        <v>506</v>
      </c>
      <c r="AC223" s="149" t="s">
        <v>546</v>
      </c>
      <c r="AD223" s="153">
        <f t="shared" si="27"/>
        <v>15.970396360426749</v>
      </c>
      <c r="AE223" s="153">
        <f t="shared" si="22"/>
        <v>18.018224023710935</v>
      </c>
      <c r="AF223" s="153">
        <f t="shared" si="23"/>
        <v>17.171698441847195</v>
      </c>
      <c r="AG223" s="153">
        <f t="shared" si="24"/>
        <v>19.921698441847195</v>
      </c>
      <c r="AH223" s="153">
        <f t="shared" si="25"/>
        <v>19.921698441847195</v>
      </c>
      <c r="AI223" t="s">
        <v>506</v>
      </c>
    </row>
    <row r="225" spans="3:36" ht="32.25" thickBot="1" x14ac:dyDescent="0.3">
      <c r="N225" t="s">
        <v>547</v>
      </c>
      <c r="O225" s="173" t="s">
        <v>542</v>
      </c>
      <c r="P225" s="174">
        <f>P221*$R$191</f>
        <v>16.473459426479561</v>
      </c>
      <c r="Q225" s="174">
        <f>Q221*$R$191</f>
        <v>19.203782794386818</v>
      </c>
      <c r="R225" s="174">
        <f t="shared" ref="R225:S225" si="29">R221*$R$191</f>
        <v>18.269524100061009</v>
      </c>
      <c r="S225" s="174">
        <f t="shared" si="29"/>
        <v>20.891168395363025</v>
      </c>
      <c r="T225" s="174">
        <f>T221*$R$191</f>
        <v>20.891168395363025</v>
      </c>
      <c r="U225" s="142" t="s">
        <v>548</v>
      </c>
      <c r="V225" s="142" t="s">
        <v>549</v>
      </c>
      <c r="AC225" s="173" t="s">
        <v>542</v>
      </c>
      <c r="AD225" s="174">
        <f>AD221*$R$191</f>
        <v>16.473459426479561</v>
      </c>
      <c r="AE225" s="174">
        <f>AE221*$R$191</f>
        <v>18.409345129143784</v>
      </c>
      <c r="AF225" s="174">
        <f t="shared" ref="AF225:AG225" si="30">AF221*$R$191</f>
        <v>17.475086434817978</v>
      </c>
      <c r="AG225" s="174">
        <f t="shared" si="30"/>
        <v>20.09673073011999</v>
      </c>
      <c r="AH225" s="174">
        <f>AH221*$R$191</f>
        <v>20.09673073011999</v>
      </c>
      <c r="AI225" s="142" t="s">
        <v>548</v>
      </c>
      <c r="AJ225" s="142" t="s">
        <v>550</v>
      </c>
    </row>
    <row r="226" spans="3:36" ht="32.25" thickBot="1" x14ac:dyDescent="0.3">
      <c r="O226" s="173" t="s">
        <v>544</v>
      </c>
      <c r="P226" s="174">
        <f t="shared" ref="P226:T226" si="31">P222*$R$191</f>
        <v>15.915283459652406</v>
      </c>
      <c r="Q226" s="174">
        <f>Q222*$R$191</f>
        <v>18.652905160468073</v>
      </c>
      <c r="R226" s="174">
        <f t="shared" si="31"/>
        <v>17.775411277652122</v>
      </c>
      <c r="S226" s="174">
        <f t="shared" si="31"/>
        <v>20.397055572954134</v>
      </c>
      <c r="T226" s="174">
        <f t="shared" si="31"/>
        <v>20.397055572954134</v>
      </c>
      <c r="U226" s="142" t="s">
        <v>548</v>
      </c>
      <c r="V226" s="142" t="s">
        <v>549</v>
      </c>
      <c r="AC226" s="173" t="s">
        <v>544</v>
      </c>
      <c r="AD226" s="174">
        <f t="shared" ref="AD226" si="32">AD222*$R$191</f>
        <v>15.915283459652406</v>
      </c>
      <c r="AE226" s="174">
        <f>AE222*$R$191</f>
        <v>17.858467495225042</v>
      </c>
      <c r="AF226" s="174">
        <f t="shared" ref="AF226:AH226" si="33">AF222*$R$191</f>
        <v>16.980973612409088</v>
      </c>
      <c r="AG226" s="174">
        <f t="shared" si="33"/>
        <v>19.602617907711103</v>
      </c>
      <c r="AH226" s="174">
        <f t="shared" si="33"/>
        <v>19.602617907711103</v>
      </c>
      <c r="AI226" s="142" t="s">
        <v>548</v>
      </c>
      <c r="AJ226" s="142" t="s">
        <v>550</v>
      </c>
    </row>
    <row r="227" spans="3:36" ht="32.25" thickBot="1" x14ac:dyDescent="0.3">
      <c r="H227" t="e">
        <f>H229:T241</f>
        <v>#VALUE!</v>
      </c>
      <c r="O227" s="173" t="s">
        <v>546</v>
      </c>
      <c r="P227" s="174">
        <f t="shared" ref="P227:T227" si="34">P223*$R$191</f>
        <v>15.224981277099936</v>
      </c>
      <c r="Q227" s="174">
        <f>Q223*$R$191</f>
        <v>17.971664655510473</v>
      </c>
      <c r="R227" s="174">
        <f t="shared" si="34"/>
        <v>17.164650487321275</v>
      </c>
      <c r="S227" s="174">
        <f t="shared" si="34"/>
        <v>19.78629478262329</v>
      </c>
      <c r="T227" s="174">
        <f t="shared" si="34"/>
        <v>19.78629478262329</v>
      </c>
      <c r="U227" s="142" t="s">
        <v>548</v>
      </c>
      <c r="V227" s="142" t="s">
        <v>549</v>
      </c>
      <c r="AC227" s="173" t="s">
        <v>546</v>
      </c>
      <c r="AD227" s="174">
        <f t="shared" ref="AD227" si="35">AD223*$R$191</f>
        <v>15.224981277099936</v>
      </c>
      <c r="AE227" s="174">
        <f>AE223*$R$191</f>
        <v>17.177226990267442</v>
      </c>
      <c r="AF227" s="174">
        <f t="shared" ref="AF227:AH227" si="36">AF223*$R$191</f>
        <v>16.370212822078244</v>
      </c>
      <c r="AG227" s="174">
        <f t="shared" si="36"/>
        <v>18.991857117380256</v>
      </c>
      <c r="AH227" s="174">
        <f t="shared" si="36"/>
        <v>18.991857117380256</v>
      </c>
      <c r="AI227" s="142" t="s">
        <v>548</v>
      </c>
      <c r="AJ227" s="142" t="s">
        <v>550</v>
      </c>
    </row>
    <row r="228" spans="3:36" x14ac:dyDescent="0.25">
      <c r="W228" s="165" t="s">
        <v>551</v>
      </c>
    </row>
    <row r="229" spans="3:36" x14ac:dyDescent="0.25">
      <c r="H229" s="164"/>
      <c r="I229" s="164"/>
      <c r="J229" s="164"/>
      <c r="K229" s="164"/>
      <c r="L229" s="164"/>
      <c r="M229" s="164"/>
      <c r="N229" s="164"/>
      <c r="O229" s="164"/>
      <c r="P229" s="164"/>
      <c r="Q229" s="164"/>
      <c r="R229" s="164"/>
      <c r="S229" s="164"/>
      <c r="T229" s="164"/>
      <c r="W229" t="s">
        <v>552</v>
      </c>
    </row>
    <row r="230" spans="3:36" x14ac:dyDescent="0.25">
      <c r="H230" s="164"/>
      <c r="J230" t="s">
        <v>553</v>
      </c>
      <c r="T230" s="164"/>
      <c r="W230" t="s">
        <v>554</v>
      </c>
      <c r="X230" t="s">
        <v>555</v>
      </c>
      <c r="Y230" t="s">
        <v>388</v>
      </c>
    </row>
    <row r="231" spans="3:36" x14ac:dyDescent="0.25">
      <c r="D231" t="s">
        <v>556</v>
      </c>
      <c r="H231" s="164"/>
      <c r="T231" s="164"/>
      <c r="W231" t="s">
        <v>557</v>
      </c>
      <c r="X231" t="s">
        <v>558</v>
      </c>
      <c r="Y231" t="s">
        <v>558</v>
      </c>
      <c r="Z231" t="s">
        <v>559</v>
      </c>
      <c r="AA231" t="s">
        <v>560</v>
      </c>
      <c r="AB231" t="s">
        <v>561</v>
      </c>
      <c r="AE231" t="s">
        <v>562</v>
      </c>
    </row>
    <row r="232" spans="3:36" x14ac:dyDescent="0.25">
      <c r="H232" s="164"/>
      <c r="J232" s="167" t="s">
        <v>398</v>
      </c>
      <c r="K232" s="167">
        <v>2020</v>
      </c>
      <c r="L232" s="167">
        <v>2030</v>
      </c>
      <c r="M232" s="167">
        <v>2050</v>
      </c>
      <c r="N232" s="2"/>
      <c r="O232" s="167" t="s">
        <v>563</v>
      </c>
      <c r="T232" s="164"/>
      <c r="V232" s="137" t="str">
        <f>J232</f>
        <v>GWp</v>
      </c>
      <c r="W232" t="s">
        <v>564</v>
      </c>
      <c r="X232" t="s">
        <v>565</v>
      </c>
      <c r="Y232" t="s">
        <v>565</v>
      </c>
    </row>
    <row r="233" spans="3:36" x14ac:dyDescent="0.25">
      <c r="C233" t="s">
        <v>566</v>
      </c>
      <c r="D233">
        <v>1</v>
      </c>
      <c r="E233" t="s">
        <v>311</v>
      </c>
      <c r="H233" s="164"/>
      <c r="J233" s="168" t="s">
        <v>567</v>
      </c>
      <c r="K233" s="167">
        <v>4</v>
      </c>
      <c r="L233" s="167">
        <v>14</v>
      </c>
      <c r="M233" s="167">
        <v>41</v>
      </c>
      <c r="N233" s="167" t="s">
        <v>568</v>
      </c>
      <c r="O233" s="167" t="s">
        <v>569</v>
      </c>
      <c r="T233" s="164"/>
      <c r="V233" s="137" t="str">
        <f t="shared" ref="V233:V237" si="37">J233</f>
        <v>0 - 15 kWp</v>
      </c>
      <c r="W233">
        <v>3</v>
      </c>
      <c r="X233" s="136">
        <f>W233/$W$240</f>
        <v>11.111111111111111</v>
      </c>
      <c r="Y233">
        <f>ROUND(X233/10,0)*10</f>
        <v>10</v>
      </c>
      <c r="Z233" t="s">
        <v>570</v>
      </c>
      <c r="AA233" t="s">
        <v>571</v>
      </c>
      <c r="AB233" t="s">
        <v>572</v>
      </c>
      <c r="AE233" t="str">
        <f>CONCATENATE("In this factsheet data are presented for a typical ",W233," kWp system (approximately ",Y233," modules), on a ",AA233," ",Z233," with a ",AB233,".")</f>
        <v>In this factsheet data are presented for a typical 3 kWp system (approximately 10 modules), on a South-facing rooftop with a fixed tilt, inclined.</v>
      </c>
    </row>
    <row r="234" spans="3:36" x14ac:dyDescent="0.25">
      <c r="C234" t="s">
        <v>573</v>
      </c>
      <c r="D234">
        <v>950</v>
      </c>
      <c r="E234" t="s">
        <v>574</v>
      </c>
      <c r="H234" s="164"/>
      <c r="J234" s="168" t="s">
        <v>575</v>
      </c>
      <c r="K234" s="167">
        <v>2</v>
      </c>
      <c r="L234" s="167">
        <v>5</v>
      </c>
      <c r="M234" s="167">
        <v>15</v>
      </c>
      <c r="N234" s="167" t="s">
        <v>576</v>
      </c>
      <c r="O234" s="167" t="s">
        <v>569</v>
      </c>
      <c r="T234" s="164"/>
      <c r="V234" s="137" t="str">
        <f t="shared" si="37"/>
        <v>15 - 1000 kWp</v>
      </c>
      <c r="W234">
        <v>250</v>
      </c>
      <c r="X234" s="136">
        <f>W234/$W$240</f>
        <v>925.92592592592587</v>
      </c>
      <c r="Y234">
        <f>ROUND(X234/100,0)*100</f>
        <v>900</v>
      </c>
      <c r="Z234" t="s">
        <v>570</v>
      </c>
      <c r="AA234" t="s">
        <v>571</v>
      </c>
      <c r="AB234" t="s">
        <v>572</v>
      </c>
      <c r="AE234" t="str">
        <f>CONCATENATE("In this factsheet data are presented for a typical ",W234," kWp system (approximately ",Y234," modules), on a ",AA234," ",Z234," with a ",AB234,".")</f>
        <v>In this factsheet data are presented for a typical 250 kWp system (approximately 900 modules), on a South-facing rooftop with a fixed tilt, inclined.</v>
      </c>
    </row>
    <row r="235" spans="3:36" x14ac:dyDescent="0.25">
      <c r="C235" t="s">
        <v>220</v>
      </c>
      <c r="D235">
        <f>D233*D234</f>
        <v>950</v>
      </c>
      <c r="E235" t="s">
        <v>577</v>
      </c>
      <c r="H235" s="164"/>
      <c r="J235" s="168" t="s">
        <v>578</v>
      </c>
      <c r="K235" s="167">
        <v>1</v>
      </c>
      <c r="L235" s="167">
        <v>3</v>
      </c>
      <c r="M235" s="167">
        <v>10</v>
      </c>
      <c r="N235" s="167" t="s">
        <v>576</v>
      </c>
      <c r="O235" s="167" t="s">
        <v>569</v>
      </c>
      <c r="T235" s="164"/>
      <c r="V235" s="137" t="str">
        <f t="shared" si="37"/>
        <v>&gt; 1 MWp rooftop</v>
      </c>
      <c r="W235">
        <v>5000</v>
      </c>
      <c r="X235" s="136">
        <f>W235/$W$240</f>
        <v>18518.518518518518</v>
      </c>
      <c r="Y235">
        <f>ROUND(X235/1000,0)*1000</f>
        <v>19000</v>
      </c>
      <c r="Z235" t="s">
        <v>570</v>
      </c>
      <c r="AA235" t="s">
        <v>571</v>
      </c>
      <c r="AB235" t="s">
        <v>572</v>
      </c>
      <c r="AE235" t="str">
        <f>CONCATENATE("In this factsheet data are presented for a typical ",W235/1000," MWp system (approximately ",Y235," modules), on a ",AA235," ",Z235," with a ",AB235,".")</f>
        <v>In this factsheet data are presented for a typical 5 MWp system (approximately 19000 modules), on a South-facing rooftop with a fixed tilt, inclined.</v>
      </c>
    </row>
    <row r="236" spans="3:36" x14ac:dyDescent="0.25">
      <c r="C236" t="s">
        <v>579</v>
      </c>
      <c r="D236">
        <v>3.5999999999999998E-6</v>
      </c>
      <c r="E236" t="s">
        <v>150</v>
      </c>
      <c r="H236" s="164"/>
      <c r="J236" s="168" t="s">
        <v>580</v>
      </c>
      <c r="K236" s="176">
        <v>1</v>
      </c>
      <c r="L236" s="176">
        <v>6</v>
      </c>
      <c r="M236" s="176">
        <v>24</v>
      </c>
      <c r="N236" s="167" t="s">
        <v>581</v>
      </c>
      <c r="O236" s="167" t="s">
        <v>582</v>
      </c>
      <c r="T236" s="164"/>
      <c r="V236" s="137" t="str">
        <f t="shared" si="37"/>
        <v>&gt; 1 MWp ground</v>
      </c>
      <c r="W236">
        <v>10000</v>
      </c>
      <c r="X236" s="136">
        <f>W236/$W$240</f>
        <v>37037.037037037036</v>
      </c>
      <c r="Y236">
        <f>ROUND(X236/1000,0)*1000</f>
        <v>37000</v>
      </c>
      <c r="Z236" t="s">
        <v>583</v>
      </c>
      <c r="AA236" t="s">
        <v>571</v>
      </c>
      <c r="AB236" t="s">
        <v>572</v>
      </c>
      <c r="AE236" t="str">
        <f>CONCATENATE("In this factsheet data are presented for a typical ",W236/1000," MWp system (approximately ",Y236," modules), on a ",AA236," ",Z236," field with a ",AB236,".")</f>
        <v>In this factsheet data are presented for a typical 10 MWp system (approximately 37000 modules), on a South-facing ground based field with a fixed tilt, inclined.</v>
      </c>
    </row>
    <row r="237" spans="3:36" x14ac:dyDescent="0.25">
      <c r="C237" t="s">
        <v>220</v>
      </c>
      <c r="D237">
        <f>D235*D236</f>
        <v>3.4199999999999999E-3</v>
      </c>
      <c r="E237" t="s">
        <v>584</v>
      </c>
      <c r="H237" s="164"/>
      <c r="J237" s="168" t="s">
        <v>585</v>
      </c>
      <c r="K237" s="176">
        <v>0</v>
      </c>
      <c r="L237" s="176">
        <v>2</v>
      </c>
      <c r="M237" s="176">
        <v>10</v>
      </c>
      <c r="N237" s="167" t="s">
        <v>586</v>
      </c>
      <c r="O237" s="167"/>
      <c r="T237" s="164"/>
      <c r="V237" s="137" t="str">
        <f t="shared" si="37"/>
        <v>&gt; 1 MWp water</v>
      </c>
    </row>
    <row r="238" spans="3:36" x14ac:dyDescent="0.25">
      <c r="H238" s="164"/>
      <c r="J238" s="168" t="s">
        <v>447</v>
      </c>
      <c r="K238" s="167">
        <f>SUM(K233:K237)</f>
        <v>8</v>
      </c>
      <c r="L238" s="167">
        <f>SUM(L233:L237)</f>
        <v>30</v>
      </c>
      <c r="M238" s="167">
        <f>SUM(M233:M237)</f>
        <v>100</v>
      </c>
      <c r="N238" s="167"/>
      <c r="O238" s="167"/>
      <c r="T238" s="164"/>
    </row>
    <row r="239" spans="3:36" x14ac:dyDescent="0.25">
      <c r="H239" s="164"/>
      <c r="J239" s="163"/>
      <c r="T239" s="164"/>
      <c r="W239" t="s">
        <v>587</v>
      </c>
    </row>
    <row r="240" spans="3:36" x14ac:dyDescent="0.25">
      <c r="H240" s="164"/>
      <c r="T240" s="164"/>
      <c r="W240">
        <v>0.27</v>
      </c>
      <c r="X240" t="s">
        <v>588</v>
      </c>
    </row>
    <row r="241" spans="4:20" x14ac:dyDescent="0.25">
      <c r="H241" s="164"/>
      <c r="I241" s="164"/>
      <c r="J241" s="164"/>
      <c r="K241" s="164"/>
      <c r="L241" s="164"/>
      <c r="M241" s="164"/>
      <c r="N241" s="164"/>
      <c r="O241" s="164"/>
      <c r="P241" s="164"/>
      <c r="Q241" s="164"/>
      <c r="R241" s="164"/>
      <c r="S241" s="164"/>
      <c r="T241" s="164"/>
    </row>
    <row r="242" spans="4:20" x14ac:dyDescent="0.25">
      <c r="D242" s="238"/>
    </row>
    <row r="243" spans="4:20" x14ac:dyDescent="0.25">
      <c r="D243" s="158" t="s">
        <v>589</v>
      </c>
    </row>
    <row r="244" spans="4:20" x14ac:dyDescent="0.25">
      <c r="D244" s="158" t="s">
        <v>590</v>
      </c>
    </row>
    <row r="245" spans="4:20" x14ac:dyDescent="0.25">
      <c r="D245" s="158" t="s">
        <v>591</v>
      </c>
    </row>
    <row r="246" spans="4:20" x14ac:dyDescent="0.25">
      <c r="D246" s="158" t="s">
        <v>592</v>
      </c>
    </row>
    <row r="247" spans="4:20" x14ac:dyDescent="0.25">
      <c r="D247" s="238"/>
    </row>
    <row r="248" spans="4:20" x14ac:dyDescent="0.25">
      <c r="D248" s="160" t="s">
        <v>504</v>
      </c>
    </row>
    <row r="249" spans="4:20" ht="17.25" x14ac:dyDescent="0.25">
      <c r="D249" s="160" t="s">
        <v>505</v>
      </c>
    </row>
    <row r="250" spans="4:20" x14ac:dyDescent="0.25">
      <c r="D250" s="160"/>
    </row>
    <row r="251" spans="4:20" x14ac:dyDescent="0.25">
      <c r="D251" s="161" t="s">
        <v>593</v>
      </c>
      <c r="E251" s="161" t="s">
        <v>594</v>
      </c>
      <c r="O251" t="s">
        <v>595</v>
      </c>
    </row>
    <row r="252" spans="4:20" x14ac:dyDescent="0.25">
      <c r="D252" s="240">
        <v>1</v>
      </c>
      <c r="E252" s="240">
        <v>1708</v>
      </c>
    </row>
    <row r="253" spans="4:20" x14ac:dyDescent="0.25">
      <c r="D253" s="240">
        <v>2</v>
      </c>
      <c r="E253" s="240">
        <v>1312</v>
      </c>
    </row>
    <row r="254" spans="4:20" x14ac:dyDescent="0.25">
      <c r="D254" s="240">
        <v>10</v>
      </c>
      <c r="E254" s="240">
        <v>951</v>
      </c>
    </row>
    <row r="255" spans="4:20" x14ac:dyDescent="0.25">
      <c r="D255" s="240">
        <v>20</v>
      </c>
      <c r="E255" s="240">
        <v>868</v>
      </c>
    </row>
    <row r="256" spans="4:20" x14ac:dyDescent="0.25">
      <c r="D256" s="240">
        <v>50</v>
      </c>
      <c r="E256" s="240">
        <v>806</v>
      </c>
    </row>
    <row r="257" spans="4:5" x14ac:dyDescent="0.25">
      <c r="D257" s="240">
        <v>100</v>
      </c>
      <c r="E257" s="240">
        <v>782</v>
      </c>
    </row>
    <row r="258" spans="4:5" x14ac:dyDescent="0.25">
      <c r="D258" s="160"/>
    </row>
    <row r="261" spans="4:5" x14ac:dyDescent="0.25">
      <c r="D261" s="162" t="s">
        <v>596</v>
      </c>
    </row>
    <row r="262" spans="4:5" x14ac:dyDescent="0.25">
      <c r="D262" s="162" t="s">
        <v>597</v>
      </c>
    </row>
    <row r="263" spans="4:5" x14ac:dyDescent="0.25">
      <c r="D263" s="162" t="s">
        <v>598</v>
      </c>
    </row>
    <row r="264" spans="4:5" x14ac:dyDescent="0.25">
      <c r="D264" s="162" t="s">
        <v>599</v>
      </c>
    </row>
    <row r="266" spans="4:5" x14ac:dyDescent="0.25">
      <c r="D266" s="238"/>
    </row>
    <row r="267" spans="4:5" x14ac:dyDescent="0.25">
      <c r="D267" s="238" t="s">
        <v>600</v>
      </c>
    </row>
    <row r="268" spans="4:5" x14ac:dyDescent="0.25">
      <c r="D268" s="238"/>
    </row>
    <row r="269" spans="4:5" x14ac:dyDescent="0.25">
      <c r="D269" s="238" t="s">
        <v>601</v>
      </c>
    </row>
    <row r="270" spans="4:5" x14ac:dyDescent="0.25">
      <c r="D270" s="238"/>
    </row>
    <row r="271" spans="4:5" ht="18" x14ac:dyDescent="0.25">
      <c r="D271" s="238" t="s">
        <v>602</v>
      </c>
    </row>
    <row r="272" spans="4:5" x14ac:dyDescent="0.25">
      <c r="D272" s="238"/>
    </row>
    <row r="273" spans="4:4" x14ac:dyDescent="0.25">
      <c r="D273" s="238" t="s">
        <v>603</v>
      </c>
    </row>
    <row r="274" spans="4:4" x14ac:dyDescent="0.25">
      <c r="D274" s="238"/>
    </row>
    <row r="275" spans="4:4" x14ac:dyDescent="0.25">
      <c r="D275" s="238" t="s">
        <v>604</v>
      </c>
    </row>
    <row r="276" spans="4:4" x14ac:dyDescent="0.25">
      <c r="D276" s="238"/>
    </row>
    <row r="277" spans="4:4" x14ac:dyDescent="0.25">
      <c r="D277" s="158" t="s">
        <v>589</v>
      </c>
    </row>
    <row r="278" spans="4:4" x14ac:dyDescent="0.25">
      <c r="D278" s="158" t="s">
        <v>605</v>
      </c>
    </row>
    <row r="279" spans="4:4" x14ac:dyDescent="0.25">
      <c r="D279" s="138" t="s">
        <v>606</v>
      </c>
    </row>
    <row r="280" spans="4:4" x14ac:dyDescent="0.25">
      <c r="D280" s="158" t="s">
        <v>592</v>
      </c>
    </row>
    <row r="281" spans="4:4" x14ac:dyDescent="0.25">
      <c r="D281" s="238"/>
    </row>
    <row r="282" spans="4:4" x14ac:dyDescent="0.25">
      <c r="D282" s="238" t="s">
        <v>607</v>
      </c>
    </row>
    <row r="283" spans="4:4" x14ac:dyDescent="0.25">
      <c r="D283" s="238" t="s">
        <v>608</v>
      </c>
    </row>
    <row r="284" spans="4:4" x14ac:dyDescent="0.25">
      <c r="D284" s="159"/>
    </row>
    <row r="285" spans="4:4" x14ac:dyDescent="0.25">
      <c r="D285" s="138" t="s">
        <v>498</v>
      </c>
    </row>
    <row r="286" spans="4:4" x14ac:dyDescent="0.25">
      <c r="D286" s="238" t="s">
        <v>500</v>
      </c>
    </row>
    <row r="287" spans="4:4" x14ac:dyDescent="0.25">
      <c r="D287" s="238"/>
    </row>
    <row r="288" spans="4:4" x14ac:dyDescent="0.25">
      <c r="D288" s="238" t="s">
        <v>503</v>
      </c>
    </row>
    <row r="289" spans="4:13" x14ac:dyDescent="0.25">
      <c r="D289" s="238"/>
    </row>
    <row r="290" spans="4:13" x14ac:dyDescent="0.25">
      <c r="D290" s="238" t="s">
        <v>609</v>
      </c>
    </row>
    <row r="291" spans="4:13" x14ac:dyDescent="0.25">
      <c r="D291" s="238"/>
    </row>
    <row r="292" spans="4:13" x14ac:dyDescent="0.25">
      <c r="D292" s="238" t="s">
        <v>610</v>
      </c>
    </row>
    <row r="293" spans="4:13" x14ac:dyDescent="0.25">
      <c r="D293" s="238"/>
    </row>
    <row r="294" spans="4:13" x14ac:dyDescent="0.25">
      <c r="D294" s="238" t="s">
        <v>247</v>
      </c>
    </row>
    <row r="295" spans="4:13" x14ac:dyDescent="0.25">
      <c r="D295" s="238" t="s">
        <v>611</v>
      </c>
    </row>
    <row r="296" spans="4:13" x14ac:dyDescent="0.25">
      <c r="D296" s="238" t="s">
        <v>612</v>
      </c>
    </row>
    <row r="297" spans="4:13" x14ac:dyDescent="0.25">
      <c r="D297" s="238" t="s">
        <v>613</v>
      </c>
    </row>
    <row r="300" spans="4:13" x14ac:dyDescent="0.25">
      <c r="D300" t="s">
        <v>614</v>
      </c>
    </row>
    <row r="302" spans="4:13" x14ac:dyDescent="0.25">
      <c r="D302" t="s">
        <v>615</v>
      </c>
      <c r="I302">
        <v>950</v>
      </c>
      <c r="K302" t="s">
        <v>616</v>
      </c>
      <c r="M302">
        <v>990</v>
      </c>
    </row>
    <row r="303" spans="4:13" x14ac:dyDescent="0.25">
      <c r="D303" t="s">
        <v>615</v>
      </c>
      <c r="I303">
        <v>850</v>
      </c>
      <c r="K303" t="s">
        <v>616</v>
      </c>
      <c r="M303">
        <v>890</v>
      </c>
    </row>
    <row r="305" spans="2:28" x14ac:dyDescent="0.25">
      <c r="C305" s="137" t="s">
        <v>617</v>
      </c>
      <c r="E305" s="175">
        <v>6.4000000000000003E-3</v>
      </c>
      <c r="F305" s="175">
        <v>6.4000000000000003E-3</v>
      </c>
      <c r="G305" s="175">
        <v>6.4000000000000003E-3</v>
      </c>
      <c r="H305" s="175">
        <v>6.4000000000000003E-3</v>
      </c>
      <c r="I305" s="175">
        <v>6.4000000000000003E-3</v>
      </c>
      <c r="J305" s="175">
        <v>6.4000000000000003E-3</v>
      </c>
      <c r="K305" s="175">
        <v>6.4000000000000003E-3</v>
      </c>
      <c r="L305" s="175">
        <v>6.4000000000000003E-3</v>
      </c>
      <c r="M305" s="175">
        <v>6.4000000000000003E-3</v>
      </c>
      <c r="N305" s="175">
        <v>6.4000000000000003E-3</v>
      </c>
      <c r="O305" s="175">
        <v>6.4000000000000003E-3</v>
      </c>
      <c r="P305" s="175">
        <v>6.4000000000000003E-3</v>
      </c>
      <c r="Q305" s="175">
        <v>6.4000000000000003E-3</v>
      </c>
      <c r="R305" s="175">
        <v>6.4000000000000003E-3</v>
      </c>
      <c r="S305" s="175">
        <v>6.4000000000000003E-3</v>
      </c>
      <c r="T305" s="175">
        <v>6.4000000000000003E-3</v>
      </c>
      <c r="U305" s="175">
        <v>6.4000000000000003E-3</v>
      </c>
      <c r="V305" s="175">
        <v>6.4000000000000003E-3</v>
      </c>
      <c r="W305" s="175">
        <v>6.4000000000000003E-3</v>
      </c>
      <c r="X305" s="175">
        <v>6.4000000000000003E-3</v>
      </c>
      <c r="Y305" s="175">
        <v>6.4000000000000003E-3</v>
      </c>
      <c r="Z305" s="175">
        <v>6.4000000000000003E-3</v>
      </c>
      <c r="AA305" s="175">
        <v>6.4000000000000003E-3</v>
      </c>
      <c r="AB305" s="175">
        <v>6.4000000000000003E-3</v>
      </c>
    </row>
    <row r="306" spans="2:28" x14ac:dyDescent="0.25">
      <c r="B306" t="s">
        <v>618</v>
      </c>
      <c r="D306" t="s">
        <v>619</v>
      </c>
      <c r="E306" t="s">
        <v>620</v>
      </c>
      <c r="F306" t="s">
        <v>621</v>
      </c>
      <c r="G306" t="s">
        <v>622</v>
      </c>
      <c r="H306" t="s">
        <v>623</v>
      </c>
      <c r="I306" t="s">
        <v>624</v>
      </c>
      <c r="J306" t="s">
        <v>625</v>
      </c>
      <c r="K306" t="s">
        <v>626</v>
      </c>
      <c r="L306" t="s">
        <v>627</v>
      </c>
      <c r="M306" t="s">
        <v>628</v>
      </c>
      <c r="N306" t="s">
        <v>629</v>
      </c>
      <c r="O306" t="s">
        <v>630</v>
      </c>
      <c r="P306" t="s">
        <v>631</v>
      </c>
      <c r="Q306" t="s">
        <v>632</v>
      </c>
      <c r="R306" t="s">
        <v>633</v>
      </c>
      <c r="S306" t="s">
        <v>634</v>
      </c>
      <c r="T306" t="s">
        <v>635</v>
      </c>
      <c r="U306" t="s">
        <v>636</v>
      </c>
      <c r="V306" t="s">
        <v>637</v>
      </c>
      <c r="W306" t="s">
        <v>638</v>
      </c>
      <c r="X306" t="s">
        <v>639</v>
      </c>
      <c r="Y306" t="s">
        <v>640</v>
      </c>
      <c r="Z306" t="s">
        <v>641</v>
      </c>
      <c r="AA306" t="s">
        <v>642</v>
      </c>
      <c r="AB306" t="s">
        <v>643</v>
      </c>
    </row>
    <row r="307" spans="2:28" x14ac:dyDescent="0.25">
      <c r="C307" t="s">
        <v>644</v>
      </c>
      <c r="D307">
        <v>890</v>
      </c>
      <c r="E307" s="136">
        <f t="shared" ref="E307:AB307" si="38">D307*(1-E305)</f>
        <v>884.30400000000009</v>
      </c>
      <c r="F307" s="136">
        <f t="shared" si="38"/>
        <v>878.64445440000009</v>
      </c>
      <c r="G307" s="136">
        <f t="shared" si="38"/>
        <v>873.02112989184013</v>
      </c>
      <c r="H307" s="136">
        <f t="shared" si="38"/>
        <v>867.43379466053239</v>
      </c>
      <c r="I307" s="136">
        <f t="shared" si="38"/>
        <v>861.88221837470496</v>
      </c>
      <c r="J307" s="136">
        <f t="shared" si="38"/>
        <v>856.36617217710693</v>
      </c>
      <c r="K307" s="136">
        <f t="shared" si="38"/>
        <v>850.88542867517344</v>
      </c>
      <c r="L307" s="136">
        <f t="shared" si="38"/>
        <v>845.43976193165236</v>
      </c>
      <c r="M307" s="136">
        <f t="shared" si="38"/>
        <v>840.02894745528977</v>
      </c>
      <c r="N307" s="136">
        <f t="shared" si="38"/>
        <v>834.6527621915759</v>
      </c>
      <c r="O307" s="136">
        <f t="shared" si="38"/>
        <v>829.3109845135499</v>
      </c>
      <c r="P307" s="136">
        <f t="shared" si="38"/>
        <v>824.00339421266324</v>
      </c>
      <c r="Q307" s="136">
        <f t="shared" si="38"/>
        <v>818.72977248970221</v>
      </c>
      <c r="R307" s="136">
        <f t="shared" si="38"/>
        <v>813.48990194576811</v>
      </c>
      <c r="S307" s="136">
        <f t="shared" si="38"/>
        <v>808.28356657331517</v>
      </c>
      <c r="T307" s="136">
        <f t="shared" si="38"/>
        <v>803.11055174724595</v>
      </c>
      <c r="U307" s="136">
        <f t="shared" si="38"/>
        <v>797.97064421606365</v>
      </c>
      <c r="V307" s="136">
        <f t="shared" si="38"/>
        <v>792.86363209308092</v>
      </c>
      <c r="W307" s="136">
        <f t="shared" si="38"/>
        <v>787.78930484768523</v>
      </c>
      <c r="X307" s="136">
        <f t="shared" si="38"/>
        <v>782.74745329666007</v>
      </c>
      <c r="Y307" s="136">
        <f t="shared" si="38"/>
        <v>777.73786959556151</v>
      </c>
      <c r="Z307" s="136">
        <f t="shared" si="38"/>
        <v>772.76034723014993</v>
      </c>
      <c r="AA307" s="136">
        <f t="shared" si="38"/>
        <v>767.81468100787697</v>
      </c>
      <c r="AB307" s="136">
        <f t="shared" si="38"/>
        <v>762.9006670494266</v>
      </c>
    </row>
    <row r="308" spans="2:28" x14ac:dyDescent="0.25">
      <c r="E308" s="137" t="s">
        <v>645</v>
      </c>
      <c r="F308" s="136">
        <f>AVERAGE(D$307:R$307)</f>
        <v>851.2128481946371</v>
      </c>
      <c r="G308" t="s">
        <v>644</v>
      </c>
    </row>
    <row r="309" spans="2:28" x14ac:dyDescent="0.25">
      <c r="E309" s="137" t="s">
        <v>646</v>
      </c>
      <c r="F309" s="136">
        <f>AVERAGE(D$307:W$307)</f>
        <v>837.91052111984732</v>
      </c>
      <c r="G309" t="s">
        <v>644</v>
      </c>
    </row>
    <row r="310" spans="2:28" x14ac:dyDescent="0.25">
      <c r="E310" s="137" t="s">
        <v>647</v>
      </c>
      <c r="F310" s="136">
        <f>AVERAGE(D$307:AB$307)</f>
        <v>824.88685762306488</v>
      </c>
      <c r="G310" t="s">
        <v>644</v>
      </c>
    </row>
    <row r="313" spans="2:28" x14ac:dyDescent="0.25">
      <c r="D313" s="238" t="s">
        <v>648</v>
      </c>
    </row>
    <row r="314" spans="2:28" x14ac:dyDescent="0.25">
      <c r="D314" s="238"/>
    </row>
    <row r="315" spans="2:28" x14ac:dyDescent="0.25">
      <c r="D315" s="238" t="s">
        <v>649</v>
      </c>
    </row>
    <row r="316" spans="2:28" x14ac:dyDescent="0.25">
      <c r="D316" s="238" t="s">
        <v>650</v>
      </c>
    </row>
    <row r="317" spans="2:28" x14ac:dyDescent="0.25">
      <c r="D317" s="238" t="s">
        <v>651</v>
      </c>
    </row>
    <row r="318" spans="2:28" x14ac:dyDescent="0.25">
      <c r="D318" s="238"/>
    </row>
    <row r="319" spans="2:28" x14ac:dyDescent="0.25">
      <c r="D319" s="238"/>
    </row>
    <row r="320" spans="2:28" x14ac:dyDescent="0.25">
      <c r="D320" s="238"/>
    </row>
    <row r="321" spans="4:4" x14ac:dyDescent="0.25">
      <c r="D321" s="238" t="s">
        <v>652</v>
      </c>
    </row>
    <row r="322" spans="4:4" x14ac:dyDescent="0.25">
      <c r="D322" s="238"/>
    </row>
    <row r="323" spans="4:4" x14ac:dyDescent="0.25">
      <c r="D323" s="238" t="s">
        <v>653</v>
      </c>
    </row>
    <row r="324" spans="4:4" x14ac:dyDescent="0.25">
      <c r="D324" s="238" t="s">
        <v>654</v>
      </c>
    </row>
    <row r="325" spans="4:4" x14ac:dyDescent="0.25">
      <c r="D325" s="238" t="s">
        <v>655</v>
      </c>
    </row>
    <row r="326" spans="4:4" x14ac:dyDescent="0.25">
      <c r="D326" s="238"/>
    </row>
  </sheetData>
  <mergeCells count="3">
    <mergeCell ref="O204:O205"/>
    <mergeCell ref="R204:R205"/>
    <mergeCell ref="O203:AG203"/>
  </mergeCells>
  <conditionalFormatting sqref="O203:AG203">
    <cfRule type="containsText" dxfId="0" priority="1" operator="containsText" text="Specify complete references and data sources used here">
      <formula>NOT(ISERROR(SEARCH("Specify complete references and data sources used here",O203)))</formula>
    </cfRule>
  </conditionalFormatting>
  <hyperlinks>
    <hyperlink ref="R109" r:id="rId1" display="https://www.ise.fraunhofer.de/content/dam/ise/de/documents/publications/studies/AgoraEnergiewende_Current_and_Future_Cost_of_PV_Feb2015_web.pdf" xr:uid="{0077ECE7-E0E0-4EE5-9E74-12D8CDEB49B7}"/>
    <hyperlink ref="D279" r:id="rId2" display="mailto:luuk.beurskens@tno.nl" xr:uid="{FC9105AC-BAF0-4CF3-8A4E-1E5255859336}"/>
    <hyperlink ref="D285" r:id="rId3" display="mailto:luuk.beurskens@tno.nl" xr:uid="{EE600F6E-33E6-42A9-87CA-F4416BEC7089}"/>
    <hyperlink ref="T60" r:id="rId4" xr:uid="{1B6F68F8-C002-41BA-8D24-D5C8FAD770B4}"/>
    <hyperlink ref="S66" r:id="rId5" xr:uid="{629FE7E6-6711-4935-A488-87DC2709E3BC}"/>
    <hyperlink ref="S85" r:id="rId6" xr:uid="{93DB16C7-22CB-4596-8DE1-236BF7151CB3}"/>
    <hyperlink ref="Y189" r:id="rId7" display="mailto:luuk.beurskens@tno.nl" xr:uid="{AE7B113D-B160-4D82-85CE-7264C6B2BF7C}"/>
  </hyperlinks>
  <pageMargins left="0.7" right="0.7" top="0.75" bottom="0.75" header="0.3" footer="0.3"/>
  <pageSetup orientation="portrait" horizontalDpi="360" verticalDpi="360" r:id="rId8"/>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87C0-199C-4F86-ADF6-41726CA069BE}">
  <dimension ref="A1:A3"/>
  <sheetViews>
    <sheetView zoomScale="80" zoomScaleNormal="80" workbookViewId="0">
      <selection activeCell="D4" sqref="F4"/>
    </sheetView>
  </sheetViews>
  <sheetFormatPr defaultRowHeight="15.75" x14ac:dyDescent="0.25"/>
  <sheetData>
    <row r="1" spans="1:1" ht="21" x14ac:dyDescent="0.35">
      <c r="A1" s="4" t="s">
        <v>656</v>
      </c>
    </row>
    <row r="2" spans="1:1" x14ac:dyDescent="0.25">
      <c r="A2" s="134" t="s">
        <v>657</v>
      </c>
    </row>
    <row r="3" spans="1:1" x14ac:dyDescent="0.25">
      <c r="A3" s="133" t="s">
        <v>658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11ea500-83e9-4ef4-bf2f-c0233a31331f">K5WJPCK5SUVE-119146697-12165</_dlc_DocId>
    <_dlc_DocIdUrl xmlns="611ea500-83e9-4ef4-bf2f-c0233a31331f">
      <Url>https://365tno.sharepoint.com/teams/P060.33948/_layouts/15/DocIdRedir.aspx?ID=K5WJPCK5SUVE-119146697-12165</Url>
      <Description>K5WJPCK5SUVE-119146697-12165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92DEED5F2D824E827487CE5C714DBC" ma:contentTypeVersion="2" ma:contentTypeDescription="Create a new document." ma:contentTypeScope="" ma:versionID="0d183db6fd8ea60fc0f450dd5ef8a475">
  <xsd:schema xmlns:xsd="http://www.w3.org/2001/XMLSchema" xmlns:xs="http://www.w3.org/2001/XMLSchema" xmlns:p="http://schemas.microsoft.com/office/2006/metadata/properties" xmlns:ns2="611ea500-83e9-4ef4-bf2f-c0233a31331f" targetNamespace="http://schemas.microsoft.com/office/2006/metadata/properties" ma:root="true" ma:fieldsID="295779edbe67a8054e31e91b69eae9d3" ns2:_="">
    <xsd:import namespace="611ea500-83e9-4ef4-bf2f-c0233a31331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5024E2-4571-4837-AA90-626DE1BCD0FB}">
  <ds:schemaRefs>
    <ds:schemaRef ds:uri="http://schemas.microsoft.com/office/2006/metadata/properties"/>
    <ds:schemaRef ds:uri="http://schemas.microsoft.com/office/infopath/2007/PartnerControls"/>
    <ds:schemaRef ds:uri="611ea500-83e9-4ef4-bf2f-c0233a31331f"/>
  </ds:schemaRefs>
</ds:datastoreItem>
</file>

<file path=customXml/itemProps2.xml><?xml version="1.0" encoding="utf-8"?>
<ds:datastoreItem xmlns:ds="http://schemas.openxmlformats.org/officeDocument/2006/customXml" ds:itemID="{6C276BFB-11D4-4454-819D-2F7910CF7C4D}"/>
</file>

<file path=customXml/itemProps3.xml><?xml version="1.0" encoding="utf-8"?>
<ds:datastoreItem xmlns:ds="http://schemas.openxmlformats.org/officeDocument/2006/customXml" ds:itemID="{A8678EFA-B14D-4DC0-84E2-F747C40661CA}">
  <ds:schemaRefs>
    <ds:schemaRef ds:uri="http://schemas.microsoft.com/sharepoint/events"/>
  </ds:schemaRefs>
</ds:datastoreItem>
</file>

<file path=customXml/itemProps4.xml><?xml version="1.0" encoding="utf-8"?>
<ds:datastoreItem xmlns:ds="http://schemas.openxmlformats.org/officeDocument/2006/customXml" ds:itemID="{9D46A041-DD11-43DA-9354-C886714C52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READ ME</vt:lpstr>
      <vt:lpstr>Data input OLD</vt:lpstr>
      <vt:lpstr>ESDL Change log 09-11-2022</vt:lpstr>
      <vt:lpstr>Data input</vt:lpstr>
      <vt:lpstr>Technology Factsheet</vt:lpstr>
      <vt:lpstr>List</vt:lpstr>
      <vt:lpstr>Calculations</vt:lpstr>
      <vt:lpstr>Visual representation</vt:lpstr>
      <vt:lpstr>'READ ME'!_ftn1</vt:lpstr>
      <vt:lpstr>'READ ME'!_ftnref1</vt:lpstr>
      <vt:lpstr>Calculations!_MailOriginal</vt:lpstr>
      <vt:lpstr>'READ ME'!Print_Area</vt:lpstr>
      <vt:lpstr>'Technology Factsheet'!Print_Area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Clisby, L.E. (Lauren)</cp:lastModifiedBy>
  <cp:revision/>
  <dcterms:created xsi:type="dcterms:W3CDTF">2018-07-06T12:34:34Z</dcterms:created>
  <dcterms:modified xsi:type="dcterms:W3CDTF">2023-12-05T12:37:12Z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0x0101002092DEED5F2D824E827487CE5C714DBC</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de798e5e-a508-4077-927f-048e7ef925ab</vt:lpwstr>
  </property>
  <property fmtid="{D5CDD505-2E9C-101B-9397-08002B2CF9AE}" pid="9" name="AuthorIds_UIVersion_512">
    <vt:lpwstr>46</vt:lpwstr>
  </property>
  <property fmtid="{D5CDD505-2E9C-101B-9397-08002B2CF9AE}" pid="10" name="h15fbb78f4cb41d290e72f301ea2865f">
    <vt:lpwstr>Project|fa11c4c9-105f-402c-bb40-9a56b4989397</vt:lpwstr>
  </property>
  <property fmtid="{D5CDD505-2E9C-101B-9397-08002B2CF9AE}" pid="11" name="lca20d149a844688b6abf34073d5c21d">
    <vt:lpwstr/>
  </property>
  <property fmtid="{D5CDD505-2E9C-101B-9397-08002B2CF9AE}" pid="12" name="cf581d8792c646118aad2c2c4ecdfa8c">
    <vt:lpwstr/>
  </property>
  <property fmtid="{D5CDD505-2E9C-101B-9397-08002B2CF9AE}" pid="13" name="bac4ab11065f4f6c809c820c57e320e5">
    <vt:lpwstr/>
  </property>
  <property fmtid="{D5CDD505-2E9C-101B-9397-08002B2CF9AE}" pid="14" name="TaxCatchAll">
    <vt:lpwstr>5;#TNO Internal|1a23c89f-ef54-4907-86fd-8242403ff722;#1;#Project|fa11c4c9-105f-402c-bb40-9a56b4989397</vt:lpwstr>
  </property>
  <property fmtid="{D5CDD505-2E9C-101B-9397-08002B2CF9AE}" pid="15" name="n2a7a23bcc2241cb9261f9a914c7c1bb">
    <vt:lpwstr>TNO Internal|1a23c89f-ef54-4907-86fd-8242403ff722</vt:lpwstr>
  </property>
  <property fmtid="{D5CDD505-2E9C-101B-9397-08002B2CF9AE}" pid="16" name="TNOC_ClusterId">
    <vt:lpwstr>060.33948</vt:lpwstr>
  </property>
  <property fmtid="{D5CDD505-2E9C-101B-9397-08002B2CF9AE}" pid="17" name="TNOC_ClusterName">
    <vt:lpwstr>5.5311 - Factsheets technologie-n</vt:lpwstr>
  </property>
  <property fmtid="{D5CDD505-2E9C-101B-9397-08002B2CF9AE}" pid="18" name="SaveCode">
    <vt:r8>754431426525115</vt:r8>
  </property>
</Properties>
</file>