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365tno.sharepoint.com/teams/P060.33948/TeamDocuments/Team/Final Factsheets 2018-2021/ESDL ready/"/>
    </mc:Choice>
  </mc:AlternateContent>
  <xr:revisionPtr revIDLastSave="36" documentId="8_{D61242DA-BA23-44F8-9544-3337C5398D9C}" xr6:coauthVersionLast="47" xr6:coauthVersionMax="47" xr10:uidLastSave="{F852D494-2416-483B-A68C-83CF5873F53B}"/>
  <workbookProtection workbookAlgorithmName="SHA-512" workbookHashValue="meEay+37Nhz6tC0LSEGXRVUQ/JBzi9bmYP9SJuWWmbSl/0JZvJ4BuVrrfF0k5xZgXY7N8U+2sah52eeUDRQkxw==" workbookSaltValue="ilZ61uwH5Vpw8Q0oh69HGg==" workbookSpinCount="100000" lockStructure="1"/>
  <bookViews>
    <workbookView xWindow="-120" yWindow="-120" windowWidth="51840" windowHeight="21240" tabRatio="500" firstSheet="10" activeTab="10" xr2:uid="{00000000-000D-0000-FFFF-FFFF00000000}"/>
  </bookViews>
  <sheets>
    <sheet name="READ ME" sheetId="3" state="hidden" r:id="rId1"/>
    <sheet name="List original" sheetId="10" state="hidden" r:id="rId2"/>
    <sheet name="List" sheetId="4" state="hidden" r:id="rId3"/>
    <sheet name="ESDL" sheetId="8" state="hidden" r:id="rId4"/>
    <sheet name="Data input original" sheetId="9" state="hidden" r:id="rId5"/>
    <sheet name="Log KSm for ESDL" sheetId="11" state="hidden" r:id="rId6"/>
    <sheet name="Data input" sheetId="2" state="hidden" r:id="rId7"/>
    <sheet name="Calculations" sheetId="5" state="hidden" r:id="rId8"/>
    <sheet name="Visual representation" sheetId="6" state="hidden" r:id="rId9"/>
    <sheet name="Change log" sheetId="7" state="hidden" r:id="rId10"/>
    <sheet name="Technology Factsheet" sheetId="1" r:id="rId11"/>
  </sheets>
  <externalReferences>
    <externalReference r:id="rId12"/>
  </externalReferences>
  <definedNames>
    <definedName name="_ftn1" localSheetId="0">'READ ME'!$C$116</definedName>
    <definedName name="_ftnref1" localSheetId="0">'READ ME'!$C$104</definedName>
    <definedName name="_xlnm.Print_Area" localSheetId="0">'READ ME'!$A$1:$D$119</definedName>
    <definedName name="_xlnm.Print_Area" localSheetId="10">'Technology Factsheet'!$B$41:$O$86</definedName>
  </definedName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A102" i="9" l="1"/>
  <c r="BA101" i="9"/>
  <c r="BA100" i="9"/>
  <c r="BA99" i="9"/>
  <c r="BA98" i="9"/>
  <c r="BA97" i="9"/>
  <c r="BA96" i="9"/>
  <c r="BA95" i="9"/>
  <c r="BA94" i="9"/>
  <c r="BA93" i="9"/>
  <c r="BA92" i="9"/>
  <c r="BA78" i="9"/>
  <c r="BA66" i="9"/>
  <c r="BA58" i="9"/>
  <c r="Q52" i="9"/>
  <c r="L52" i="9"/>
  <c r="G52" i="9"/>
  <c r="BA46" i="9"/>
  <c r="I42" i="9"/>
  <c r="H42" i="9"/>
  <c r="G42" i="9"/>
  <c r="E42" i="9"/>
  <c r="E40" i="9"/>
  <c r="I38" i="9"/>
  <c r="H38" i="9"/>
  <c r="G38" i="9"/>
  <c r="E38" i="9"/>
  <c r="AZ34" i="9"/>
  <c r="Q23" i="9"/>
  <c r="L23" i="9"/>
  <c r="D19" i="9"/>
  <c r="AZ14" i="9"/>
  <c r="AZ12" i="9"/>
  <c r="B3" i="1" l="1"/>
  <c r="G4" i="8"/>
  <c r="V200" i="8" a="1"/>
  <c r="V200" i="8" s="1"/>
  <c r="G195" i="8" s="1"/>
  <c r="V199" i="8"/>
  <c r="G194" i="8" s="1"/>
  <c r="V198" i="8"/>
  <c r="V197" i="8" a="1"/>
  <c r="V197" i="8" s="1"/>
  <c r="G192" i="8" s="1"/>
  <c r="V196" i="8"/>
  <c r="G191" i="8" s="1"/>
  <c r="V195" i="8"/>
  <c r="V194" i="8" a="1"/>
  <c r="V194" i="8" s="1"/>
  <c r="G189" i="8" s="1"/>
  <c r="V193" i="8"/>
  <c r="G188" i="8" s="1"/>
  <c r="V192" i="8"/>
  <c r="V191" i="8" a="1"/>
  <c r="V191" i="8" s="1"/>
  <c r="G186" i="8" s="1"/>
  <c r="V190" i="8"/>
  <c r="V189" i="8"/>
  <c r="V188" i="8" a="1"/>
  <c r="V188" i="8" s="1"/>
  <c r="G183" i="8" s="1"/>
  <c r="V187" i="8"/>
  <c r="V186" i="8"/>
  <c r="G181" i="8" s="1"/>
  <c r="V185" i="8" a="1"/>
  <c r="V185" i="8" s="1"/>
  <c r="G180" i="8" s="1"/>
  <c r="V184" i="8"/>
  <c r="V183" i="8"/>
  <c r="V182" i="8" a="1"/>
  <c r="V182" i="8" s="1"/>
  <c r="G177" i="8" s="1"/>
  <c r="V181" i="8"/>
  <c r="G176" i="8" s="1"/>
  <c r="V180" i="8"/>
  <c r="V179" i="8" a="1"/>
  <c r="V179" i="8" s="1"/>
  <c r="G174" i="8" s="1"/>
  <c r="Q179" i="8" a="1"/>
  <c r="Q179" i="8" s="1"/>
  <c r="C187" i="8" s="1"/>
  <c r="C188" i="8" s="1"/>
  <c r="C189" i="8" s="1"/>
  <c r="C190" i="8" s="1"/>
  <c r="C191" i="8" s="1"/>
  <c r="C192" i="8" s="1"/>
  <c r="C193" i="8" s="1"/>
  <c r="C194" i="8" s="1"/>
  <c r="C195" i="8" s="1"/>
  <c r="V178" i="8"/>
  <c r="V177" i="8"/>
  <c r="Q177" i="8" a="1"/>
  <c r="Q177" i="8" s="1"/>
  <c r="D187" i="8" s="1"/>
  <c r="D188" i="8" s="1"/>
  <c r="D189" i="8" s="1"/>
  <c r="D190" i="8" s="1"/>
  <c r="D191" i="8" s="1"/>
  <c r="D192" i="8" s="1"/>
  <c r="D193" i="8" s="1"/>
  <c r="D194" i="8" s="1"/>
  <c r="D195" i="8" s="1"/>
  <c r="V176" i="8" a="1"/>
  <c r="V176" i="8" s="1"/>
  <c r="G171" i="8" s="1"/>
  <c r="V175" i="8"/>
  <c r="Q175" i="8"/>
  <c r="Q175" i="8" a="1"/>
  <c r="V174" i="8"/>
  <c r="G169" i="8" s="1"/>
  <c r="V173" i="8" a="1"/>
  <c r="V173" i="8" s="1"/>
  <c r="G168" i="8" s="1"/>
  <c r="Q173" i="8" a="1"/>
  <c r="Q173" i="8" s="1"/>
  <c r="D178" i="8" s="1"/>
  <c r="D179" i="8" s="1"/>
  <c r="D180" i="8" s="1"/>
  <c r="D181" i="8" s="1"/>
  <c r="D182" i="8" s="1"/>
  <c r="D183" i="8" s="1"/>
  <c r="D184" i="8" s="1"/>
  <c r="D185" i="8" s="1"/>
  <c r="D186" i="8" s="1"/>
  <c r="V172" i="8"/>
  <c r="G167" i="8" s="1"/>
  <c r="V171" i="8"/>
  <c r="Q171" i="8" a="1"/>
  <c r="Q171" i="8" s="1"/>
  <c r="C169" i="8" s="1"/>
  <c r="C170" i="8" s="1"/>
  <c r="C171" i="8" s="1"/>
  <c r="C172" i="8" s="1"/>
  <c r="C173" i="8" s="1"/>
  <c r="C174" i="8" s="1"/>
  <c r="C175" i="8" s="1"/>
  <c r="C176" i="8" s="1"/>
  <c r="C177" i="8" s="1"/>
  <c r="V170" i="8" a="1"/>
  <c r="V170" i="8" s="1"/>
  <c r="G165" i="8" s="1"/>
  <c r="V169" i="8"/>
  <c r="Q169" i="8" a="1"/>
  <c r="Q169" i="8" s="1"/>
  <c r="D169" i="8" s="1"/>
  <c r="D170" i="8" s="1"/>
  <c r="D171" i="8" s="1"/>
  <c r="D172" i="8" s="1"/>
  <c r="D173" i="8" s="1"/>
  <c r="D174" i="8" s="1"/>
  <c r="D175" i="8" s="1"/>
  <c r="D176" i="8" s="1"/>
  <c r="D177" i="8" s="1"/>
  <c r="V168" i="8"/>
  <c r="V167" i="8" a="1"/>
  <c r="V167" i="8" s="1"/>
  <c r="G162" i="8" s="1"/>
  <c r="Q167" i="8" a="1"/>
  <c r="Q167" i="8" s="1"/>
  <c r="C160" i="8" s="1"/>
  <c r="C161" i="8" s="1"/>
  <c r="C162" i="8" s="1"/>
  <c r="C163" i="8" s="1"/>
  <c r="C164" i="8" s="1"/>
  <c r="C165" i="8" s="1"/>
  <c r="C166" i="8" s="1"/>
  <c r="C167" i="8" s="1"/>
  <c r="C168" i="8" s="1"/>
  <c r="V166" i="8"/>
  <c r="V165" i="8"/>
  <c r="Q165" i="8" a="1"/>
  <c r="Q165" i="8" s="1"/>
  <c r="D160" i="8" s="1"/>
  <c r="D161" i="8" s="1"/>
  <c r="D162" i="8" s="1"/>
  <c r="D163" i="8" s="1"/>
  <c r="D164" i="8" s="1"/>
  <c r="D165" i="8" s="1"/>
  <c r="D166" i="8" s="1"/>
  <c r="D167" i="8" s="1"/>
  <c r="D168" i="8" s="1"/>
  <c r="V164" i="8" a="1"/>
  <c r="V164" i="8" s="1"/>
  <c r="G159" i="8" s="1"/>
  <c r="V163" i="8"/>
  <c r="V162" i="8"/>
  <c r="G157" i="8" s="1"/>
  <c r="V161" i="8" a="1"/>
  <c r="V161" i="8" s="1"/>
  <c r="G156" i="8" s="1"/>
  <c r="V160" i="8"/>
  <c r="G155" i="8" s="1"/>
  <c r="V159" i="8"/>
  <c r="V158" i="8" a="1"/>
  <c r="V158" i="8" s="1"/>
  <c r="G153" i="8" s="1"/>
  <c r="V157" i="8"/>
  <c r="G152" i="8" s="1"/>
  <c r="V156" i="8"/>
  <c r="V155" i="8" a="1"/>
  <c r="V155" i="8" s="1"/>
  <c r="G150" i="8" s="1"/>
  <c r="V154" i="8"/>
  <c r="V153" i="8"/>
  <c r="G148" i="8" s="1"/>
  <c r="V152" i="8" a="1"/>
  <c r="V152" i="8" s="1"/>
  <c r="G147" i="8" s="1"/>
  <c r="V151" i="8"/>
  <c r="G146" i="8" s="1"/>
  <c r="V150" i="8"/>
  <c r="V149" i="8" a="1"/>
  <c r="V149" i="8" s="1"/>
  <c r="G144" i="8" s="1"/>
  <c r="V148" i="8"/>
  <c r="V147" i="8"/>
  <c r="G142" i="8" s="1"/>
  <c r="V146" i="8" a="1"/>
  <c r="V146" i="8" s="1"/>
  <c r="G141" i="8" s="1"/>
  <c r="V145" i="8"/>
  <c r="G140" i="8" s="1"/>
  <c r="V144" i="8"/>
  <c r="G139" i="8" s="1"/>
  <c r="V143" i="8" a="1"/>
  <c r="V143" i="8" s="1"/>
  <c r="G138" i="8" s="1"/>
  <c r="Q143" i="8" a="1"/>
  <c r="Q143" i="8" s="1"/>
  <c r="C151" i="8" s="1"/>
  <c r="C152" i="8" s="1"/>
  <c r="C153" i="8" s="1"/>
  <c r="C154" i="8" s="1"/>
  <c r="C155" i="8" s="1"/>
  <c r="C156" i="8" s="1"/>
  <c r="C157" i="8" s="1"/>
  <c r="C158" i="8" s="1"/>
  <c r="C159" i="8" s="1"/>
  <c r="V142" i="8"/>
  <c r="V141" i="8"/>
  <c r="G136" i="8" s="1"/>
  <c r="Q141" i="8" a="1"/>
  <c r="Q141" i="8" s="1"/>
  <c r="D151" i="8" s="1"/>
  <c r="D152" i="8" s="1"/>
  <c r="D153" i="8" s="1"/>
  <c r="D154" i="8" s="1"/>
  <c r="D155" i="8" s="1"/>
  <c r="D156" i="8" s="1"/>
  <c r="D157" i="8" s="1"/>
  <c r="D158" i="8" s="1"/>
  <c r="D159" i="8" s="1"/>
  <c r="V140" i="8" a="1"/>
  <c r="V140" i="8" s="1"/>
  <c r="G135" i="8" s="1"/>
  <c r="V139" i="8"/>
  <c r="Q139" i="8"/>
  <c r="Q139" i="8" a="1"/>
  <c r="V138" i="8"/>
  <c r="V137" i="8" a="1"/>
  <c r="V137" i="8" s="1"/>
  <c r="G132" i="8" s="1"/>
  <c r="Q137" i="8" a="1"/>
  <c r="Q137" i="8" s="1"/>
  <c r="D142" i="8" s="1"/>
  <c r="D143" i="8" s="1"/>
  <c r="D144" i="8" s="1"/>
  <c r="D145" i="8" s="1"/>
  <c r="D146" i="8" s="1"/>
  <c r="D147" i="8" s="1"/>
  <c r="D148" i="8" s="1"/>
  <c r="D149" i="8" s="1"/>
  <c r="D150" i="8" s="1"/>
  <c r="V136" i="8"/>
  <c r="V135" i="8"/>
  <c r="Q135" i="8" a="1"/>
  <c r="Q135" i="8" s="1"/>
  <c r="C133" i="8" s="1"/>
  <c r="C134" i="8" s="1"/>
  <c r="C135" i="8" s="1"/>
  <c r="C136" i="8" s="1"/>
  <c r="C137" i="8" s="1"/>
  <c r="C138" i="8" s="1"/>
  <c r="C139" i="8" s="1"/>
  <c r="C140" i="8" s="1"/>
  <c r="C141" i="8" s="1"/>
  <c r="V134" i="8" a="1"/>
  <c r="V134" i="8" s="1"/>
  <c r="G129" i="8" s="1"/>
  <c r="V133" i="8"/>
  <c r="Q133" i="8" a="1"/>
  <c r="Q133" i="8" s="1"/>
  <c r="D133" i="8" s="1"/>
  <c r="D134" i="8" s="1"/>
  <c r="D135" i="8" s="1"/>
  <c r="D136" i="8" s="1"/>
  <c r="D137" i="8" s="1"/>
  <c r="D138" i="8" s="1"/>
  <c r="D139" i="8" s="1"/>
  <c r="D140" i="8" s="1"/>
  <c r="D141" i="8" s="1"/>
  <c r="V132" i="8"/>
  <c r="V131" i="8" a="1"/>
  <c r="V131" i="8" s="1"/>
  <c r="G126" i="8" s="1"/>
  <c r="Q131" i="8" a="1"/>
  <c r="Q131" i="8" s="1"/>
  <c r="C124" i="8" s="1"/>
  <c r="C125" i="8" s="1"/>
  <c r="C126" i="8" s="1"/>
  <c r="C127" i="8" s="1"/>
  <c r="C128" i="8" s="1"/>
  <c r="C129" i="8" s="1"/>
  <c r="C130" i="8" s="1"/>
  <c r="C131" i="8" s="1"/>
  <c r="C132" i="8" s="1"/>
  <c r="V130" i="8"/>
  <c r="V129" i="8"/>
  <c r="Q129" i="8" a="1"/>
  <c r="Q129" i="8" s="1"/>
  <c r="D124" i="8" s="1"/>
  <c r="D125" i="8" s="1"/>
  <c r="D126" i="8" s="1"/>
  <c r="D127" i="8" s="1"/>
  <c r="D128" i="8" s="1"/>
  <c r="D129" i="8" s="1"/>
  <c r="D130" i="8" s="1"/>
  <c r="D131" i="8" s="1"/>
  <c r="D132" i="8" s="1"/>
  <c r="V128" i="8" a="1"/>
  <c r="V128" i="8" s="1"/>
  <c r="G123" i="8" s="1"/>
  <c r="B123" i="8" s="1"/>
  <c r="V127" i="8"/>
  <c r="V126" i="8"/>
  <c r="V125" i="8" a="1"/>
  <c r="V125" i="8" s="1"/>
  <c r="G120" i="8" s="1"/>
  <c r="B120" i="8" s="1"/>
  <c r="V124" i="8"/>
  <c r="V123" i="8"/>
  <c r="V122" i="8" a="1"/>
  <c r="V122" i="8" s="1"/>
  <c r="G117" i="8" s="1"/>
  <c r="B117" i="8" s="1"/>
  <c r="V121" i="8"/>
  <c r="G116" i="8" s="1"/>
  <c r="B116" i="8" s="1"/>
  <c r="V120" i="8"/>
  <c r="V119" i="8" a="1"/>
  <c r="V119" i="8" s="1"/>
  <c r="G114" i="8" s="1"/>
  <c r="B114" i="8" s="1"/>
  <c r="V118" i="8"/>
  <c r="V117" i="8"/>
  <c r="G112" i="8" s="1"/>
  <c r="B112" i="8" s="1"/>
  <c r="Q117" i="8" a="1"/>
  <c r="Q117" i="8" s="1"/>
  <c r="C115" i="8" s="1"/>
  <c r="C116" i="8" s="1"/>
  <c r="C117" i="8" s="1"/>
  <c r="C118" i="8" s="1"/>
  <c r="C119" i="8" s="1"/>
  <c r="C120" i="8" s="1"/>
  <c r="C121" i="8" s="1"/>
  <c r="C122" i="8" s="1"/>
  <c r="C123" i="8" s="1"/>
  <c r="V116" i="8" a="1"/>
  <c r="V116" i="8" s="1"/>
  <c r="G111" i="8" s="1"/>
  <c r="B111" i="8" s="1"/>
  <c r="V115" i="8"/>
  <c r="Q115" i="8" a="1"/>
  <c r="Q115" i="8" s="1"/>
  <c r="D115" i="8" s="1"/>
  <c r="D116" i="8" s="1"/>
  <c r="D117" i="8" s="1"/>
  <c r="D118" i="8" s="1"/>
  <c r="D119" i="8" s="1"/>
  <c r="D120" i="8" s="1"/>
  <c r="D121" i="8" s="1"/>
  <c r="D122" i="8" s="1"/>
  <c r="D123" i="8" s="1"/>
  <c r="V114" i="8"/>
  <c r="V113" i="8" a="1"/>
  <c r="V113" i="8" s="1"/>
  <c r="G108" i="8" s="1"/>
  <c r="B108" i="8" s="1"/>
  <c r="Q113" i="8" a="1"/>
  <c r="Q113" i="8" s="1"/>
  <c r="C106" i="8" s="1"/>
  <c r="C107" i="8" s="1"/>
  <c r="C108" i="8" s="1"/>
  <c r="C109" i="8" s="1"/>
  <c r="C110" i="8" s="1"/>
  <c r="C111" i="8" s="1"/>
  <c r="C112" i="8" s="1"/>
  <c r="C113" i="8" s="1"/>
  <c r="C114" i="8" s="1"/>
  <c r="V112" i="8"/>
  <c r="V111" i="8"/>
  <c r="G106" i="8" s="1"/>
  <c r="B106" i="8" s="1"/>
  <c r="Q111" i="8" a="1"/>
  <c r="Q111" i="8" s="1"/>
  <c r="D106" i="8" s="1"/>
  <c r="D107" i="8" s="1"/>
  <c r="D108" i="8" s="1"/>
  <c r="D109" i="8" s="1"/>
  <c r="D110" i="8" s="1"/>
  <c r="D111" i="8" s="1"/>
  <c r="D112" i="8" s="1"/>
  <c r="D113" i="8" s="1"/>
  <c r="D114" i="8" s="1"/>
  <c r="V110" i="8" a="1"/>
  <c r="V110" i="8" s="1"/>
  <c r="G105" i="8" s="1"/>
  <c r="B105" i="8" s="1"/>
  <c r="V109" i="8"/>
  <c r="V108" i="8"/>
  <c r="V107" i="8" a="1"/>
  <c r="V107" i="8" s="1"/>
  <c r="G102" i="8" s="1"/>
  <c r="B102" i="8" s="1"/>
  <c r="V106" i="8"/>
  <c r="V105" i="8"/>
  <c r="G100" i="8" s="1"/>
  <c r="B100" i="8" s="1"/>
  <c r="V104" i="8" a="1"/>
  <c r="V104" i="8" s="1"/>
  <c r="G99" i="8" s="1"/>
  <c r="B99" i="8" s="1"/>
  <c r="V103" i="8"/>
  <c r="V102" i="8"/>
  <c r="V101" i="8" a="1"/>
  <c r="V101" i="8" s="1"/>
  <c r="G96" i="8" s="1"/>
  <c r="B96" i="8" s="1"/>
  <c r="V100" i="8"/>
  <c r="V99" i="8"/>
  <c r="V98" i="8" a="1"/>
  <c r="V98" i="8" s="1"/>
  <c r="G93" i="8" s="1"/>
  <c r="B93" i="8" s="1"/>
  <c r="V97" i="8"/>
  <c r="G92" i="8" s="1"/>
  <c r="B92" i="8" s="1"/>
  <c r="V96" i="8"/>
  <c r="V95" i="8" a="1"/>
  <c r="V95" i="8" s="1"/>
  <c r="G90" i="8" s="1"/>
  <c r="B90" i="8" s="1"/>
  <c r="V94" i="8"/>
  <c r="V93" i="8"/>
  <c r="Q88" i="8"/>
  <c r="Q88" i="8" a="1"/>
  <c r="Q86" i="8" a="1"/>
  <c r="Q86" i="8" s="1"/>
  <c r="D97" i="8" s="1"/>
  <c r="D98" i="8" s="1"/>
  <c r="D99" i="8" s="1"/>
  <c r="D100" i="8" s="1"/>
  <c r="D101" i="8" s="1"/>
  <c r="D102" i="8" s="1"/>
  <c r="D103" i="8" s="1"/>
  <c r="D104" i="8" s="1"/>
  <c r="D105" i="8" s="1"/>
  <c r="Q84" i="8" a="1"/>
  <c r="Q84" i="8" s="1"/>
  <c r="C88" i="8" s="1"/>
  <c r="C89" i="8" s="1"/>
  <c r="C90" i="8" s="1"/>
  <c r="C91" i="8" s="1"/>
  <c r="C92" i="8" s="1"/>
  <c r="C93" i="8" s="1"/>
  <c r="C94" i="8" s="1"/>
  <c r="C95" i="8" s="1"/>
  <c r="C96" i="8" s="1"/>
  <c r="V83" i="8" a="1"/>
  <c r="V83" i="8" s="1"/>
  <c r="G78" i="8" s="1"/>
  <c r="B78" i="8" s="1"/>
  <c r="V82" i="8"/>
  <c r="Q82" i="8" a="1"/>
  <c r="Q82" i="8" s="1"/>
  <c r="D88" i="8" s="1"/>
  <c r="D89" i="8" s="1"/>
  <c r="D90" i="8" s="1"/>
  <c r="D91" i="8" s="1"/>
  <c r="D92" i="8" s="1"/>
  <c r="D93" i="8" s="1"/>
  <c r="D94" i="8" s="1"/>
  <c r="D95" i="8" s="1"/>
  <c r="D96" i="8" s="1"/>
  <c r="V81" i="8"/>
  <c r="G76" i="8" s="1"/>
  <c r="B76" i="8" s="1"/>
  <c r="V80" i="8" a="1"/>
  <c r="V80" i="8" s="1"/>
  <c r="G75" i="8" s="1"/>
  <c r="B75" i="8" s="1"/>
  <c r="Q80" i="8" a="1"/>
  <c r="Q80" i="8" s="1"/>
  <c r="C79" i="8" s="1"/>
  <c r="C80" i="8" s="1"/>
  <c r="C81" i="8" s="1"/>
  <c r="C82" i="8" s="1"/>
  <c r="C83" i="8" s="1"/>
  <c r="C84" i="8" s="1"/>
  <c r="C85" i="8" s="1"/>
  <c r="C86" i="8" s="1"/>
  <c r="C87" i="8" s="1"/>
  <c r="V79" i="8"/>
  <c r="V78" i="8"/>
  <c r="Q78" i="8" a="1"/>
  <c r="Q78" i="8" s="1"/>
  <c r="D79" i="8" s="1"/>
  <c r="D80" i="8" s="1"/>
  <c r="D81" i="8" s="1"/>
  <c r="D82" i="8" s="1"/>
  <c r="D83" i="8" s="1"/>
  <c r="D84" i="8" s="1"/>
  <c r="D85" i="8" s="1"/>
  <c r="D86" i="8" s="1"/>
  <c r="D87" i="8" s="1"/>
  <c r="V77" i="8" a="1"/>
  <c r="V77" i="8" s="1"/>
  <c r="G72" i="8" s="1"/>
  <c r="B72" i="8" s="1"/>
  <c r="V76" i="8"/>
  <c r="Q76" i="8"/>
  <c r="Q76" i="8" a="1"/>
  <c r="V75" i="8"/>
  <c r="G70" i="8" s="1"/>
  <c r="B70" i="8" s="1"/>
  <c r="Q75" i="8" a="1"/>
  <c r="Q75" i="8" s="1"/>
  <c r="D70" i="8" s="1"/>
  <c r="D71" i="8" s="1"/>
  <c r="D72" i="8" s="1"/>
  <c r="D73" i="8" s="1"/>
  <c r="D74" i="8" s="1"/>
  <c r="D75" i="8" s="1"/>
  <c r="D76" i="8" s="1"/>
  <c r="D77" i="8" s="1"/>
  <c r="D78" i="8" s="1"/>
  <c r="V74" i="8" a="1"/>
  <c r="V74" i="8" s="1"/>
  <c r="G69" i="8" s="1"/>
  <c r="V73" i="8"/>
  <c r="G68" i="8" s="1"/>
  <c r="V72" i="8"/>
  <c r="V71" i="8" a="1"/>
  <c r="V71" i="8" s="1"/>
  <c r="G66" i="8" s="1"/>
  <c r="V70" i="8"/>
  <c r="V69" i="8"/>
  <c r="V68" i="8" a="1"/>
  <c r="V68" i="8" s="1"/>
  <c r="G63" i="8" s="1"/>
  <c r="V67" i="8"/>
  <c r="V66" i="8"/>
  <c r="V65" i="8" a="1"/>
  <c r="V65" i="8" s="1"/>
  <c r="G60" i="8" s="1"/>
  <c r="V64" i="8"/>
  <c r="V63" i="8"/>
  <c r="V62" i="8" a="1"/>
  <c r="V62" i="8" s="1"/>
  <c r="G57" i="8" s="1"/>
  <c r="V61" i="8"/>
  <c r="G56" i="8" s="1"/>
  <c r="V60" i="8"/>
  <c r="Q57" i="8" a="1"/>
  <c r="Q57" i="8" s="1"/>
  <c r="C61" i="8" s="1"/>
  <c r="C62" i="8" s="1"/>
  <c r="C63" i="8" s="1"/>
  <c r="C64" i="8" s="1"/>
  <c r="C65" i="8" s="1"/>
  <c r="C66" i="8" s="1"/>
  <c r="C67" i="8" s="1"/>
  <c r="C68" i="8" s="1"/>
  <c r="C69" i="8" s="1"/>
  <c r="V56" i="8" a="1"/>
  <c r="V56" i="8" s="1"/>
  <c r="G51" i="8" s="1"/>
  <c r="V55" i="8"/>
  <c r="Q55" i="8" a="1"/>
  <c r="Q55" i="8" s="1"/>
  <c r="B61" i="8" s="1"/>
  <c r="B62" i="8" s="1"/>
  <c r="B63" i="8" s="1"/>
  <c r="B64" i="8" s="1"/>
  <c r="B65" i="8" s="1"/>
  <c r="B66" i="8" s="1"/>
  <c r="B67" i="8" s="1"/>
  <c r="B68" i="8" s="1"/>
  <c r="B69" i="8" s="1"/>
  <c r="V54" i="8"/>
  <c r="V53" i="8" a="1"/>
  <c r="V53" i="8" s="1"/>
  <c r="G48" i="8" s="1"/>
  <c r="V52" i="8"/>
  <c r="V51" i="8"/>
  <c r="G46" i="8" s="1"/>
  <c r="Q51" i="8" a="1"/>
  <c r="Q51" i="8" s="1"/>
  <c r="B52" i="8" s="1"/>
  <c r="B53" i="8" s="1"/>
  <c r="B54" i="8" s="1"/>
  <c r="B55" i="8" s="1"/>
  <c r="B56" i="8" s="1"/>
  <c r="B57" i="8" s="1"/>
  <c r="B58" i="8" s="1"/>
  <c r="B59" i="8" s="1"/>
  <c r="B60" i="8" s="1"/>
  <c r="V50" i="8" a="1"/>
  <c r="V50" i="8" s="1"/>
  <c r="G45" i="8" s="1"/>
  <c r="V49" i="8"/>
  <c r="V48" i="8"/>
  <c r="V47" i="8" a="1"/>
  <c r="V47" i="8" s="1"/>
  <c r="G42" i="8" s="1"/>
  <c r="Q47" i="8" a="1"/>
  <c r="Q47" i="8" s="1"/>
  <c r="B43" i="8" s="1"/>
  <c r="B44" i="8" s="1"/>
  <c r="B45" i="8" s="1"/>
  <c r="B46" i="8" s="1"/>
  <c r="B47" i="8" s="1"/>
  <c r="B48" i="8" s="1"/>
  <c r="B49" i="8" s="1"/>
  <c r="B50" i="8" s="1"/>
  <c r="B51" i="8" s="1"/>
  <c r="V46" i="8"/>
  <c r="V45" i="8"/>
  <c r="G40" i="8" s="1"/>
  <c r="V44" i="8" a="1"/>
  <c r="V44" i="8" s="1"/>
  <c r="G39" i="8" s="1"/>
  <c r="V43" i="8"/>
  <c r="V42" i="8"/>
  <c r="Q42" i="8" a="1"/>
  <c r="Q42" i="8" s="1"/>
  <c r="B34" i="8" s="1"/>
  <c r="B35" i="8" s="1"/>
  <c r="B36" i="8" s="1"/>
  <c r="B37" i="8" s="1"/>
  <c r="B38" i="8" s="1"/>
  <c r="B39" i="8" s="1"/>
  <c r="B40" i="8" s="1"/>
  <c r="B41" i="8" s="1"/>
  <c r="B42" i="8" s="1"/>
  <c r="Q41" i="8" a="1"/>
  <c r="Q41" i="8" s="1"/>
  <c r="Q40" i="8" a="1"/>
  <c r="Q40" i="8" s="1"/>
  <c r="E22" i="8" s="1"/>
  <c r="E23" i="8" s="1"/>
  <c r="E24" i="8" s="1"/>
  <c r="Q39" i="8" a="1"/>
  <c r="Q39" i="8" s="1"/>
  <c r="V32" i="8" a="1"/>
  <c r="V32" i="8" s="1"/>
  <c r="G33" i="8" s="1"/>
  <c r="Q32" i="8" a="1"/>
  <c r="Q32" i="8" s="1"/>
  <c r="B33" i="8" s="1"/>
  <c r="V31" i="8" a="1"/>
  <c r="V31" i="8" s="1"/>
  <c r="G32" i="8" s="1"/>
  <c r="Q31" i="8" a="1"/>
  <c r="Q31" i="8" s="1"/>
  <c r="B32" i="8" s="1"/>
  <c r="V30" i="8" a="1"/>
  <c r="V30" i="8" s="1"/>
  <c r="G31" i="8" s="1"/>
  <c r="Q30" i="8" a="1"/>
  <c r="Q30" i="8" s="1"/>
  <c r="B31" i="8" s="1"/>
  <c r="V29" i="8" a="1"/>
  <c r="V29" i="8" s="1"/>
  <c r="G30" i="8" s="1"/>
  <c r="Q28" i="8" a="1"/>
  <c r="Q28" i="8" s="1"/>
  <c r="B30" i="8" s="1"/>
  <c r="V27" i="8"/>
  <c r="V27" i="8" a="1"/>
  <c r="Q27" i="8" a="1"/>
  <c r="Q27" i="8" s="1"/>
  <c r="B29" i="8" s="1"/>
  <c r="V26" i="8"/>
  <c r="V26" i="8" a="1"/>
  <c r="Q26" i="8" a="1"/>
  <c r="Q26" i="8" s="1"/>
  <c r="B28" i="8" s="1"/>
  <c r="V25" i="8"/>
  <c r="V25" i="8" a="1"/>
  <c r="V24" i="8"/>
  <c r="G26" i="8" s="1"/>
  <c r="V23" i="8"/>
  <c r="V22" i="8"/>
  <c r="V22" i="8" a="1"/>
  <c r="V21" i="8"/>
  <c r="G23" i="8" s="1"/>
  <c r="Q21" i="8" a="1"/>
  <c r="Q21" i="8" s="1"/>
  <c r="C19" i="8" s="1"/>
  <c r="C20" i="8" s="1"/>
  <c r="C21" i="8" s="1"/>
  <c r="C22" i="8" s="1"/>
  <c r="C23" i="8" s="1"/>
  <c r="C24" i="8" s="1"/>
  <c r="C25" i="8" s="1"/>
  <c r="C26" i="8" s="1"/>
  <c r="C27" i="8" s="1"/>
  <c r="V20" i="8"/>
  <c r="V19" i="8" a="1"/>
  <c r="V19" i="8" s="1"/>
  <c r="G21" i="8" s="1"/>
  <c r="Q19" i="8"/>
  <c r="Q19" i="8" a="1"/>
  <c r="V18" i="8"/>
  <c r="G20" i="8" s="1"/>
  <c r="V17" i="8"/>
  <c r="Q17" i="8"/>
  <c r="Q17" i="8" a="1"/>
  <c r="V16" i="8" a="1"/>
  <c r="V16" i="8" s="1"/>
  <c r="G18" i="8" s="1"/>
  <c r="V15" i="8"/>
  <c r="V14" i="8"/>
  <c r="V13" i="8"/>
  <c r="V13" i="8" a="1"/>
  <c r="V12" i="8"/>
  <c r="V11" i="8"/>
  <c r="Q11" i="8"/>
  <c r="Q11" i="8" a="1"/>
  <c r="V10" i="8" a="1"/>
  <c r="V10" i="8" s="1"/>
  <c r="G12" i="8" s="1"/>
  <c r="V9" i="8"/>
  <c r="V8" i="8"/>
  <c r="Q8" i="8" a="1"/>
  <c r="Q8" i="8" s="1"/>
  <c r="B10" i="8" s="1"/>
  <c r="B11" i="8" s="1"/>
  <c r="B12" i="8" s="1"/>
  <c r="B13" i="8" s="1"/>
  <c r="B14" i="8" s="1"/>
  <c r="B15" i="8" s="1"/>
  <c r="B16" i="8" s="1"/>
  <c r="B17" i="8" s="1"/>
  <c r="B18" i="8" s="1"/>
  <c r="Q5" i="8"/>
  <c r="Q5" i="8" a="1"/>
  <c r="Q4" i="8" a="1"/>
  <c r="Q4" i="8" s="1"/>
  <c r="G6" i="8" s="1"/>
  <c r="Q3" i="8"/>
  <c r="Q3" i="8" a="1"/>
  <c r="B1" i="8" a="1"/>
  <c r="B1" i="8" s="1"/>
  <c r="G3" i="8"/>
  <c r="F195" i="8"/>
  <c r="G193" i="8"/>
  <c r="F192" i="8"/>
  <c r="F191" i="8"/>
  <c r="F194" i="8" s="1"/>
  <c r="G190" i="8"/>
  <c r="F190" i="8"/>
  <c r="F193" i="8" s="1"/>
  <c r="G187" i="8"/>
  <c r="E187" i="8"/>
  <c r="E188" i="8" s="1"/>
  <c r="E189" i="8" s="1"/>
  <c r="G185" i="8"/>
  <c r="F185" i="8"/>
  <c r="G184" i="8"/>
  <c r="F184" i="8"/>
  <c r="G178" i="8"/>
  <c r="F183" i="8"/>
  <c r="F186" i="8" s="1"/>
  <c r="G182" i="8"/>
  <c r="F182" i="8"/>
  <c r="F181" i="8"/>
  <c r="G175" i="8"/>
  <c r="G179" i="8"/>
  <c r="E179" i="8"/>
  <c r="E180" i="8" s="1"/>
  <c r="E178" i="8"/>
  <c r="F176" i="8"/>
  <c r="G170" i="8"/>
  <c r="C178" i="8"/>
  <c r="C179" i="8" s="1"/>
  <c r="C180" i="8" s="1"/>
  <c r="C181" i="8" s="1"/>
  <c r="C182" i="8" s="1"/>
  <c r="C183" i="8" s="1"/>
  <c r="C184" i="8" s="1"/>
  <c r="C185" i="8" s="1"/>
  <c r="C186" i="8" s="1"/>
  <c r="F175" i="8"/>
  <c r="F174" i="8"/>
  <c r="F177" i="8" s="1"/>
  <c r="G173" i="8"/>
  <c r="F173" i="8"/>
  <c r="G172" i="8"/>
  <c r="F172" i="8"/>
  <c r="G166" i="8"/>
  <c r="E170" i="8"/>
  <c r="E171" i="8" s="1"/>
  <c r="G164" i="8"/>
  <c r="E169" i="8"/>
  <c r="F167" i="8"/>
  <c r="G161" i="8"/>
  <c r="F166" i="8"/>
  <c r="F165" i="8"/>
  <c r="F168" i="8" s="1"/>
  <c r="F164" i="8"/>
  <c r="G163" i="8"/>
  <c r="F163" i="8"/>
  <c r="B161" i="8"/>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G160" i="8"/>
  <c r="E160" i="8"/>
  <c r="E161" i="8" s="1"/>
  <c r="E162" i="8" s="1"/>
  <c r="G154" i="8"/>
  <c r="G158" i="8"/>
  <c r="F156" i="8"/>
  <c r="F159" i="8" s="1"/>
  <c r="F155" i="8"/>
  <c r="F158" i="8" s="1"/>
  <c r="F154" i="8"/>
  <c r="F157" i="8" s="1"/>
  <c r="G151" i="8"/>
  <c r="E151" i="8"/>
  <c r="E152" i="8" s="1"/>
  <c r="E153" i="8" s="1"/>
  <c r="G145" i="8"/>
  <c r="G149" i="8"/>
  <c r="F147" i="8"/>
  <c r="F150" i="8" s="1"/>
  <c r="F146" i="8"/>
  <c r="F149" i="8" s="1"/>
  <c r="F145" i="8"/>
  <c r="F148" i="8" s="1"/>
  <c r="G143" i="8"/>
  <c r="E142" i="8"/>
  <c r="E143" i="8" s="1"/>
  <c r="E144" i="8" s="1"/>
  <c r="F140" i="8"/>
  <c r="C142" i="8"/>
  <c r="C143" i="8" s="1"/>
  <c r="C144" i="8" s="1"/>
  <c r="C145" i="8" s="1"/>
  <c r="C146" i="8" s="1"/>
  <c r="C147" i="8" s="1"/>
  <c r="C148" i="8" s="1"/>
  <c r="C149" i="8" s="1"/>
  <c r="C150" i="8" s="1"/>
  <c r="F139" i="8"/>
  <c r="G133" i="8"/>
  <c r="F138" i="8"/>
  <c r="F141" i="8" s="1"/>
  <c r="G137" i="8"/>
  <c r="F137" i="8"/>
  <c r="F136" i="8"/>
  <c r="G134" i="8"/>
  <c r="E133" i="8"/>
  <c r="E134" i="8" s="1"/>
  <c r="E135" i="8" s="1"/>
  <c r="G131" i="8"/>
  <c r="F131" i="8"/>
  <c r="G125" i="8"/>
  <c r="G130" i="8"/>
  <c r="F130" i="8"/>
  <c r="G124" i="8"/>
  <c r="F129" i="8"/>
  <c r="F132" i="8" s="1"/>
  <c r="G128" i="8"/>
  <c r="F128" i="8"/>
  <c r="G127" i="8"/>
  <c r="F127" i="8"/>
  <c r="E125" i="8"/>
  <c r="E126" i="8" s="1"/>
  <c r="B125" i="8"/>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2" i="8" s="1"/>
  <c r="B153" i="8" s="1"/>
  <c r="B154" i="8" s="1"/>
  <c r="B155" i="8" s="1"/>
  <c r="B156" i="8" s="1"/>
  <c r="B157" i="8" s="1"/>
  <c r="B158" i="8" s="1"/>
  <c r="B159" i="8" s="1"/>
  <c r="E124" i="8"/>
  <c r="G122" i="8"/>
  <c r="B122" i="8"/>
  <c r="G121" i="8"/>
  <c r="B121" i="8" s="1"/>
  <c r="F121" i="8"/>
  <c r="G115" i="8"/>
  <c r="B115" i="8" s="1"/>
  <c r="F120" i="8"/>
  <c r="F123" i="8" s="1"/>
  <c r="G119" i="8"/>
  <c r="B119" i="8" s="1"/>
  <c r="F119" i="8"/>
  <c r="F122" i="8" s="1"/>
  <c r="G113" i="8"/>
  <c r="B113" i="8" s="1"/>
  <c r="G118" i="8"/>
  <c r="B118" i="8" s="1"/>
  <c r="F118" i="8"/>
  <c r="E115" i="8"/>
  <c r="E116" i="8" s="1"/>
  <c r="E117" i="8" s="1"/>
  <c r="F113" i="8"/>
  <c r="F112" i="8"/>
  <c r="F111" i="8"/>
  <c r="F114" i="8" s="1"/>
  <c r="G110" i="8"/>
  <c r="B110" i="8" s="1"/>
  <c r="F110" i="8"/>
  <c r="G109" i="8"/>
  <c r="B109" i="8" s="1"/>
  <c r="F109" i="8"/>
  <c r="G107" i="8"/>
  <c r="B107" i="8"/>
  <c r="E106" i="8"/>
  <c r="E107" i="8" s="1"/>
  <c r="E108" i="8" s="1"/>
  <c r="G104" i="8"/>
  <c r="B104" i="8" s="1"/>
  <c r="F104" i="8"/>
  <c r="G103" i="8"/>
  <c r="B103" i="8" s="1"/>
  <c r="F103" i="8"/>
  <c r="G97" i="8"/>
  <c r="B97" i="8" s="1"/>
  <c r="F102" i="8"/>
  <c r="F105" i="8" s="1"/>
  <c r="G101" i="8"/>
  <c r="B101" i="8" s="1"/>
  <c r="F101" i="8"/>
  <c r="F100" i="8"/>
  <c r="G98" i="8"/>
  <c r="B98" i="8" s="1"/>
  <c r="E97" i="8"/>
  <c r="E98" i="8" s="1"/>
  <c r="E99" i="8" s="1"/>
  <c r="G95" i="8"/>
  <c r="F95" i="8"/>
  <c r="B95" i="8"/>
  <c r="G94" i="8"/>
  <c r="B94" i="8" s="1"/>
  <c r="F94" i="8"/>
  <c r="G88" i="8"/>
  <c r="B88" i="8" s="1"/>
  <c r="F93" i="8"/>
  <c r="F96" i="8" s="1"/>
  <c r="F92" i="8"/>
  <c r="G91" i="8"/>
  <c r="B91" i="8" s="1"/>
  <c r="F91" i="8"/>
  <c r="G89" i="8"/>
  <c r="B89" i="8"/>
  <c r="C97" i="8"/>
  <c r="C98" i="8" s="1"/>
  <c r="C99" i="8" s="1"/>
  <c r="C100" i="8" s="1"/>
  <c r="C101" i="8" s="1"/>
  <c r="C102" i="8" s="1"/>
  <c r="C103" i="8" s="1"/>
  <c r="C104" i="8" s="1"/>
  <c r="C105" i="8" s="1"/>
  <c r="E88" i="8"/>
  <c r="E89" i="8" s="1"/>
  <c r="E90" i="8" s="1"/>
  <c r="F86" i="8"/>
  <c r="F85" i="8"/>
  <c r="F84" i="8"/>
  <c r="F87" i="8" s="1"/>
  <c r="F83" i="8"/>
  <c r="F82" i="8"/>
  <c r="E79" i="8"/>
  <c r="E80" i="8" s="1"/>
  <c r="E81" i="8" s="1"/>
  <c r="G77" i="8"/>
  <c r="B77" i="8" s="1"/>
  <c r="F77" i="8"/>
  <c r="C70" i="8"/>
  <c r="C71" i="8" s="1"/>
  <c r="C72" i="8" s="1"/>
  <c r="C73" i="8" s="1"/>
  <c r="C74" i="8" s="1"/>
  <c r="C75" i="8" s="1"/>
  <c r="C76" i="8" s="1"/>
  <c r="C77" i="8" s="1"/>
  <c r="C78" i="8" s="1"/>
  <c r="F76" i="8"/>
  <c r="F75" i="8"/>
  <c r="F78" i="8" s="1"/>
  <c r="G74" i="8"/>
  <c r="B74" i="8" s="1"/>
  <c r="F74" i="8"/>
  <c r="G73" i="8"/>
  <c r="B73" i="8" s="1"/>
  <c r="F73" i="8"/>
  <c r="G67" i="8"/>
  <c r="G71" i="8"/>
  <c r="B71" i="8" s="1"/>
  <c r="E70" i="8"/>
  <c r="E71" i="8" s="1"/>
  <c r="E72" i="8" s="1"/>
  <c r="F69" i="8"/>
  <c r="F68" i="8"/>
  <c r="G62" i="8"/>
  <c r="F66" i="8"/>
  <c r="G65" i="8"/>
  <c r="F65" i="8"/>
  <c r="G59" i="8"/>
  <c r="G64" i="8"/>
  <c r="F64" i="8"/>
  <c r="F67" i="8" s="1"/>
  <c r="G61" i="8"/>
  <c r="E61" i="8"/>
  <c r="E62" i="8" s="1"/>
  <c r="E63" i="8" s="1"/>
  <c r="F60" i="8"/>
  <c r="F59" i="8"/>
  <c r="G58" i="8"/>
  <c r="F57" i="8"/>
  <c r="F56" i="8"/>
  <c r="G55" i="8"/>
  <c r="F55" i="8"/>
  <c r="F58" i="8" s="1"/>
  <c r="E52" i="8"/>
  <c r="E53" i="8" s="1"/>
  <c r="E54" i="8" s="1"/>
  <c r="G50" i="8"/>
  <c r="F50" i="8"/>
  <c r="G49" i="8"/>
  <c r="F48" i="8"/>
  <c r="F51" i="8" s="1"/>
  <c r="G47" i="8"/>
  <c r="F47" i="8"/>
  <c r="G41" i="8"/>
  <c r="F46" i="8"/>
  <c r="F49" i="8" s="1"/>
  <c r="G44" i="8"/>
  <c r="G38" i="8"/>
  <c r="G43" i="8"/>
  <c r="E43" i="8"/>
  <c r="E44" i="8" s="1"/>
  <c r="E45" i="8" s="1"/>
  <c r="F42" i="8"/>
  <c r="F39" i="8"/>
  <c r="F38" i="8"/>
  <c r="F41" i="8" s="1"/>
  <c r="G37" i="8"/>
  <c r="F37" i="8"/>
  <c r="F40" i="8" s="1"/>
  <c r="E34" i="8"/>
  <c r="E35" i="8" s="1"/>
  <c r="E36" i="8" s="1"/>
  <c r="G29" i="8"/>
  <c r="G28" i="8"/>
  <c r="G27" i="8"/>
  <c r="G25" i="8"/>
  <c r="G24" i="8"/>
  <c r="G22" i="8"/>
  <c r="E20" i="8"/>
  <c r="E21" i="8" s="1"/>
  <c r="G19" i="8"/>
  <c r="E19" i="8"/>
  <c r="B19" i="8"/>
  <c r="B20" i="8" s="1"/>
  <c r="B21" i="8" s="1"/>
  <c r="B22" i="8" s="1"/>
  <c r="B23" i="8" s="1"/>
  <c r="B24" i="8" s="1"/>
  <c r="B25" i="8" s="1"/>
  <c r="B26" i="8" s="1"/>
  <c r="B27" i="8" s="1"/>
  <c r="G17" i="8"/>
  <c r="G16" i="8"/>
  <c r="G14" i="8"/>
  <c r="G15" i="8"/>
  <c r="G13" i="8"/>
  <c r="F12" i="8"/>
  <c r="F15" i="8" s="1"/>
  <c r="F18" i="8" s="1"/>
  <c r="F21" i="8" s="1"/>
  <c r="F24" i="8" s="1"/>
  <c r="F27" i="8" s="1"/>
  <c r="G11" i="8"/>
  <c r="F11" i="8"/>
  <c r="F14" i="8" s="1"/>
  <c r="F17" i="8" s="1"/>
  <c r="F20" i="8" s="1"/>
  <c r="F23" i="8" s="1"/>
  <c r="F26" i="8" s="1"/>
  <c r="G10" i="8"/>
  <c r="F10" i="8"/>
  <c r="F13" i="8" s="1"/>
  <c r="F16" i="8" s="1"/>
  <c r="F19" i="8" s="1"/>
  <c r="F22" i="8" s="1"/>
  <c r="F25" i="8" s="1"/>
  <c r="E10" i="8"/>
  <c r="E11" i="8" s="1"/>
  <c r="E12" i="8" s="1"/>
  <c r="B8" i="8"/>
  <c r="B9" i="8" s="1"/>
  <c r="B7" i="8"/>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E40" i="8" l="1"/>
  <c r="E41" i="8" s="1"/>
  <c r="E42" i="8" s="1"/>
  <c r="E58" i="8"/>
  <c r="E59" i="8" s="1"/>
  <c r="E60" i="8" s="1"/>
  <c r="E25" i="8"/>
  <c r="E26" i="8" s="1"/>
  <c r="E27" i="8" s="1"/>
  <c r="E16" i="8"/>
  <c r="E17" i="8" s="1"/>
  <c r="E18" i="8" s="1"/>
  <c r="E6" i="8"/>
  <c r="B6" i="8"/>
  <c r="E190" i="8"/>
  <c r="E191" i="8" s="1"/>
  <c r="E192" i="8" s="1"/>
  <c r="E181" i="8"/>
  <c r="E182" i="8" s="1"/>
  <c r="E183" i="8" s="1"/>
  <c r="E154" i="8"/>
  <c r="E155" i="8" s="1"/>
  <c r="E156" i="8" s="1"/>
  <c r="E145" i="8"/>
  <c r="E146" i="8" s="1"/>
  <c r="E147" i="8" s="1"/>
  <c r="E163" i="8"/>
  <c r="E164" i="8" s="1"/>
  <c r="E165" i="8" s="1"/>
  <c r="E172" i="8"/>
  <c r="E173" i="8" s="1"/>
  <c r="E174" i="8" s="1"/>
  <c r="E136" i="8"/>
  <c r="E137" i="8" s="1"/>
  <c r="E138" i="8" s="1"/>
  <c r="E64" i="8"/>
  <c r="E65" i="8" s="1"/>
  <c r="E66" i="8" s="1"/>
  <c r="E118" i="8"/>
  <c r="E119" i="8" s="1"/>
  <c r="E120" i="8" s="1"/>
  <c r="E109" i="8"/>
  <c r="E110" i="8" s="1"/>
  <c r="E111" i="8" s="1"/>
  <c r="E100" i="8"/>
  <c r="E101" i="8" s="1"/>
  <c r="E102" i="8" s="1"/>
  <c r="E91" i="8"/>
  <c r="E92" i="8" s="1"/>
  <c r="E93" i="8" s="1"/>
  <c r="E82" i="8"/>
  <c r="E83" i="8" s="1"/>
  <c r="E84" i="8" s="1"/>
  <c r="E73" i="8"/>
  <c r="E74" i="8" s="1"/>
  <c r="E75" i="8" s="1"/>
  <c r="E127" i="8"/>
  <c r="E128" i="8" s="1"/>
  <c r="E129" i="8" s="1"/>
  <c r="E46" i="8"/>
  <c r="E47" i="8" s="1"/>
  <c r="E48" i="8" s="1"/>
  <c r="E13" i="8"/>
  <c r="E14" i="8" s="1"/>
  <c r="E15" i="8" s="1"/>
  <c r="E55" i="8"/>
  <c r="E56" i="8" s="1"/>
  <c r="E57" i="8" s="1"/>
  <c r="E37" i="8"/>
  <c r="E38" i="8" s="1"/>
  <c r="E39" i="8" s="1"/>
  <c r="E193" i="8"/>
  <c r="E194" i="8" s="1"/>
  <c r="E195" i="8" s="1"/>
  <c r="E184" i="8"/>
  <c r="E185" i="8" s="1"/>
  <c r="E186" i="8" s="1"/>
  <c r="E175" i="8"/>
  <c r="E176" i="8" s="1"/>
  <c r="E177" i="8" s="1"/>
  <c r="E157" i="8"/>
  <c r="E158" i="8" s="1"/>
  <c r="E159" i="8" s="1"/>
  <c r="E139" i="8"/>
  <c r="E140" i="8" s="1"/>
  <c r="E141" i="8" s="1"/>
  <c r="E130" i="8"/>
  <c r="E131" i="8" s="1"/>
  <c r="E132" i="8" s="1"/>
  <c r="E166" i="8"/>
  <c r="E167" i="8" s="1"/>
  <c r="E168" i="8" s="1"/>
  <c r="E148" i="8"/>
  <c r="E149" i="8" s="1"/>
  <c r="E150" i="8" s="1"/>
  <c r="E121" i="8"/>
  <c r="E122" i="8" s="1"/>
  <c r="E123" i="8" s="1"/>
  <c r="E103" i="8"/>
  <c r="E104" i="8" s="1"/>
  <c r="E105" i="8" s="1"/>
  <c r="E94" i="8"/>
  <c r="E95" i="8" s="1"/>
  <c r="E96" i="8" s="1"/>
  <c r="E85" i="8"/>
  <c r="E86" i="8" s="1"/>
  <c r="E87" i="8" s="1"/>
  <c r="E112" i="8"/>
  <c r="E113" i="8" s="1"/>
  <c r="E114" i="8" s="1"/>
  <c r="E76" i="8"/>
  <c r="E77" i="8" s="1"/>
  <c r="E78" i="8" s="1"/>
  <c r="E67" i="8"/>
  <c r="E68" i="8" s="1"/>
  <c r="E69" i="8" s="1"/>
  <c r="E49" i="8"/>
  <c r="E50" i="8" s="1"/>
  <c r="E51" i="8" s="1"/>
  <c r="C87" i="1" l="1"/>
  <c r="C86" i="1"/>
  <c r="D10" i="1"/>
  <c r="O17" i="5" l="1"/>
  <c r="O16" i="5"/>
  <c r="M17" i="5"/>
  <c r="M16" i="5"/>
  <c r="B41" i="5"/>
  <c r="B42" i="5" s="1"/>
  <c r="B43" i="5" s="1"/>
  <c r="F35" i="5"/>
  <c r="F36" i="5" s="1"/>
  <c r="F38" i="5" s="1"/>
  <c r="F39" i="5" s="1"/>
  <c r="B35" i="5"/>
  <c r="B36" i="5" s="1"/>
  <c r="B38" i="5" s="1"/>
  <c r="B39" i="5" s="1"/>
  <c r="F32" i="5"/>
  <c r="F33" i="5" s="1"/>
  <c r="B32" i="5"/>
  <c r="B33" i="5" s="1"/>
  <c r="B29" i="5"/>
  <c r="B28" i="5"/>
  <c r="Q23" i="2" l="1"/>
  <c r="L23" i="2"/>
  <c r="C92" i="1" l="1"/>
  <c r="C91" i="1"/>
  <c r="C90" i="1"/>
  <c r="C89" i="1"/>
  <c r="C88" i="1"/>
  <c r="C85" i="1"/>
  <c r="C84" i="1"/>
  <c r="C83" i="1"/>
  <c r="C82" i="1"/>
  <c r="B92" i="1"/>
  <c r="B91" i="1"/>
  <c r="B90" i="1"/>
  <c r="B89" i="1"/>
  <c r="B88" i="1"/>
  <c r="B87" i="1"/>
  <c r="B86" i="1"/>
  <c r="B85" i="1"/>
  <c r="B84" i="1"/>
  <c r="B83" i="1"/>
  <c r="B82" i="1"/>
  <c r="D5" i="1"/>
  <c r="E38" i="2" l="1"/>
  <c r="D19" i="2" l="1"/>
  <c r="D15" i="1" s="1"/>
  <c r="Q6" i="8" s="1" a="1"/>
  <c r="Q6" i="8" s="1"/>
  <c r="C7" i="8" s="1"/>
  <c r="C8" i="8" s="1"/>
  <c r="C9" i="8" s="1"/>
  <c r="D6" i="1"/>
  <c r="D78" i="1"/>
  <c r="E38" i="1"/>
  <c r="D38" i="1"/>
  <c r="D36" i="1"/>
  <c r="D34" i="1"/>
  <c r="D32" i="1"/>
  <c r="E42" i="2"/>
  <c r="E40" i="2"/>
  <c r="AZ82" i="1"/>
  <c r="G67" i="1"/>
  <c r="J18" i="1"/>
  <c r="D28" i="1"/>
  <c r="AZ28" i="1" s="1"/>
  <c r="F17" i="1"/>
  <c r="Q14" i="8" s="1" a="1"/>
  <c r="Q14" i="8" s="1"/>
  <c r="C10" i="8" s="1"/>
  <c r="C11" i="8" s="1"/>
  <c r="C12" i="8" s="1"/>
  <c r="C13" i="8" s="1"/>
  <c r="C14" i="8" s="1"/>
  <c r="C15" i="8" s="1"/>
  <c r="C16" i="8" s="1"/>
  <c r="C17" i="8" s="1"/>
  <c r="C18" i="8" s="1"/>
  <c r="D20" i="1"/>
  <c r="D17" i="1"/>
  <c r="D80" i="1"/>
  <c r="AZ80" i="1" s="1"/>
  <c r="D69" i="1"/>
  <c r="AZ69" i="1" s="1"/>
  <c r="B78" i="1"/>
  <c r="B76" i="1"/>
  <c r="B74" i="1"/>
  <c r="B72" i="1"/>
  <c r="D72" i="1"/>
  <c r="D76" i="1"/>
  <c r="D74" i="1"/>
  <c r="F54" i="1"/>
  <c r="O79" i="1"/>
  <c r="M79" i="1"/>
  <c r="L79" i="1"/>
  <c r="J79" i="1"/>
  <c r="I79" i="1"/>
  <c r="G79" i="1"/>
  <c r="M78" i="1"/>
  <c r="J78" i="1"/>
  <c r="G78" i="1"/>
  <c r="O77" i="1"/>
  <c r="M77" i="1"/>
  <c r="L77" i="1"/>
  <c r="J77" i="1"/>
  <c r="I77" i="1"/>
  <c r="G77" i="1"/>
  <c r="M76" i="1"/>
  <c r="J76" i="1"/>
  <c r="G76" i="1"/>
  <c r="O75" i="1"/>
  <c r="M75" i="1"/>
  <c r="L75" i="1"/>
  <c r="J75" i="1"/>
  <c r="I75" i="1"/>
  <c r="G75" i="1"/>
  <c r="M74" i="1"/>
  <c r="J74" i="1"/>
  <c r="G74" i="1"/>
  <c r="E24" i="1"/>
  <c r="D25" i="1"/>
  <c r="AZ14" i="2"/>
  <c r="BA93" i="2"/>
  <c r="BA94" i="2"/>
  <c r="BA95" i="2"/>
  <c r="BA96" i="2"/>
  <c r="BA97" i="2"/>
  <c r="BA98" i="2"/>
  <c r="BA99" i="2"/>
  <c r="BA100" i="2"/>
  <c r="BA101" i="2"/>
  <c r="BA102" i="2"/>
  <c r="BA92" i="2"/>
  <c r="BA78" i="2"/>
  <c r="BA66" i="2"/>
  <c r="BA58" i="2"/>
  <c r="BA46" i="2"/>
  <c r="AZ34" i="2"/>
  <c r="AZ12" i="2"/>
  <c r="O21" i="1"/>
  <c r="M21" i="1"/>
  <c r="L21" i="1"/>
  <c r="J21" i="1"/>
  <c r="I21" i="1"/>
  <c r="G21" i="1"/>
  <c r="M20" i="1"/>
  <c r="J20" i="1"/>
  <c r="G20" i="1"/>
  <c r="O19" i="1"/>
  <c r="M19" i="1"/>
  <c r="L19" i="1"/>
  <c r="J19" i="1"/>
  <c r="I19" i="1"/>
  <c r="G19" i="1"/>
  <c r="M18" i="1"/>
  <c r="G18" i="1"/>
  <c r="AZ92" i="1"/>
  <c r="F67" i="1"/>
  <c r="F65" i="1"/>
  <c r="F63" i="1"/>
  <c r="F61" i="1"/>
  <c r="E36" i="1"/>
  <c r="Q53" i="8" s="1" a="1"/>
  <c r="Q53" i="8" s="1"/>
  <c r="C52" i="8" s="1"/>
  <c r="C53" i="8" s="1"/>
  <c r="C54" i="8" s="1"/>
  <c r="C55" i="8" s="1"/>
  <c r="C56" i="8" s="1"/>
  <c r="C57" i="8" s="1"/>
  <c r="C58" i="8" s="1"/>
  <c r="C59" i="8" s="1"/>
  <c r="C60" i="8" s="1"/>
  <c r="E34" i="1"/>
  <c r="E32" i="1"/>
  <c r="Q45" i="8" s="1" a="1"/>
  <c r="Q45" i="8" s="1"/>
  <c r="C34" i="8" s="1"/>
  <c r="C35" i="8" s="1"/>
  <c r="C36" i="8" s="1"/>
  <c r="C37" i="8" s="1"/>
  <c r="C38" i="8" s="1"/>
  <c r="C39" i="8" s="1"/>
  <c r="C40" i="8" s="1"/>
  <c r="C41" i="8" s="1"/>
  <c r="C42" i="8" s="1"/>
  <c r="D12" i="1"/>
  <c r="AZ12" i="1" s="1"/>
  <c r="D67" i="1"/>
  <c r="D65" i="1"/>
  <c r="D63" i="1"/>
  <c r="D61" i="1"/>
  <c r="D44" i="1"/>
  <c r="D49" i="1"/>
  <c r="D47" i="1"/>
  <c r="D45" i="1"/>
  <c r="D22" i="1"/>
  <c r="AZ90" i="1"/>
  <c r="AZ91" i="1"/>
  <c r="AZ84" i="1"/>
  <c r="AZ85" i="1"/>
  <c r="AZ86" i="1"/>
  <c r="AZ87" i="1"/>
  <c r="AZ88" i="1"/>
  <c r="AZ89" i="1"/>
  <c r="AZ83" i="1"/>
  <c r="O73" i="1"/>
  <c r="M73" i="1"/>
  <c r="L73" i="1"/>
  <c r="J73" i="1"/>
  <c r="I73" i="1"/>
  <c r="G73" i="1"/>
  <c r="M72" i="1"/>
  <c r="J72" i="1"/>
  <c r="G72" i="1"/>
  <c r="D56" i="1"/>
  <c r="D58" i="1"/>
  <c r="AZ58" i="1" s="1"/>
  <c r="O68" i="1"/>
  <c r="M68" i="1"/>
  <c r="L68" i="1"/>
  <c r="J68" i="1"/>
  <c r="O66" i="1"/>
  <c r="M66" i="1"/>
  <c r="L66" i="1"/>
  <c r="J66" i="1"/>
  <c r="O64" i="1"/>
  <c r="M64" i="1"/>
  <c r="L64" i="1"/>
  <c r="J64" i="1"/>
  <c r="O62" i="1"/>
  <c r="M62" i="1"/>
  <c r="L62" i="1"/>
  <c r="J62" i="1"/>
  <c r="I68" i="1"/>
  <c r="G68" i="1"/>
  <c r="I66" i="1"/>
  <c r="G66" i="1"/>
  <c r="I64" i="1"/>
  <c r="G64" i="1"/>
  <c r="I62" i="1"/>
  <c r="G62" i="1"/>
  <c r="M67" i="1"/>
  <c r="J67" i="1"/>
  <c r="M65" i="1"/>
  <c r="J65" i="1"/>
  <c r="G65" i="1"/>
  <c r="M63" i="1"/>
  <c r="J63" i="1"/>
  <c r="G63" i="1"/>
  <c r="M61" i="1"/>
  <c r="J61" i="1"/>
  <c r="G61" i="1"/>
  <c r="D51" i="1"/>
  <c r="AZ51" i="1" s="1"/>
  <c r="O57" i="1"/>
  <c r="M57" i="1"/>
  <c r="L57" i="1"/>
  <c r="J57" i="1"/>
  <c r="I57" i="1"/>
  <c r="G57" i="1"/>
  <c r="O55" i="1"/>
  <c r="M55" i="1"/>
  <c r="L55" i="1"/>
  <c r="J55" i="1"/>
  <c r="I55" i="1"/>
  <c r="G55" i="1"/>
  <c r="M56" i="1"/>
  <c r="J56" i="1"/>
  <c r="M54" i="1"/>
  <c r="J54" i="1"/>
  <c r="G56" i="1"/>
  <c r="G54" i="1"/>
  <c r="F56" i="1"/>
  <c r="D54" i="1"/>
  <c r="D23" i="1"/>
  <c r="D40" i="1"/>
  <c r="AZ40" i="1" s="1"/>
  <c r="O50" i="1"/>
  <c r="M50" i="1"/>
  <c r="O48" i="1"/>
  <c r="M48" i="1"/>
  <c r="O46" i="1"/>
  <c r="M46" i="1"/>
  <c r="O44" i="1"/>
  <c r="M44" i="1"/>
  <c r="L50" i="1"/>
  <c r="J50" i="1"/>
  <c r="L48" i="1"/>
  <c r="J48" i="1"/>
  <c r="L46" i="1"/>
  <c r="J46" i="1"/>
  <c r="L44" i="1"/>
  <c r="J44" i="1"/>
  <c r="I50" i="1"/>
  <c r="G50" i="1"/>
  <c r="I48" i="1"/>
  <c r="G48" i="1"/>
  <c r="I46" i="1"/>
  <c r="V85" i="8" s="1"/>
  <c r="G80" i="8" s="1"/>
  <c r="B80" i="8" s="1"/>
  <c r="G46" i="1"/>
  <c r="V84" i="8" s="1"/>
  <c r="G79" i="8" s="1"/>
  <c r="B79" i="8" s="1"/>
  <c r="I44" i="1"/>
  <c r="G44" i="1"/>
  <c r="M49" i="1"/>
  <c r="M47" i="1"/>
  <c r="M45" i="1"/>
  <c r="V92" i="8" s="1" a="1"/>
  <c r="V92" i="8" s="1"/>
  <c r="G87" i="8" s="1"/>
  <c r="B87" i="8" s="1"/>
  <c r="M43" i="1"/>
  <c r="J49" i="1"/>
  <c r="J47" i="1"/>
  <c r="J45" i="1"/>
  <c r="V89" i="8" s="1" a="1"/>
  <c r="V89" i="8" s="1"/>
  <c r="G84" i="8" s="1"/>
  <c r="B84" i="8" s="1"/>
  <c r="J43" i="1"/>
  <c r="G49" i="1"/>
  <c r="G47" i="1"/>
  <c r="G45" i="1"/>
  <c r="V86" i="8" s="1" a="1"/>
  <c r="V86" i="8" s="1"/>
  <c r="G81" i="8" s="1"/>
  <c r="B81" i="8" s="1"/>
  <c r="G43" i="1"/>
  <c r="O39" i="1"/>
  <c r="M39" i="1"/>
  <c r="O37" i="1"/>
  <c r="M37" i="1"/>
  <c r="O35" i="1"/>
  <c r="M35" i="1"/>
  <c r="O33" i="1"/>
  <c r="M33" i="1"/>
  <c r="L39" i="1"/>
  <c r="J39" i="1"/>
  <c r="L37" i="1"/>
  <c r="J37" i="1"/>
  <c r="L35" i="1"/>
  <c r="J35" i="1"/>
  <c r="L33" i="1"/>
  <c r="J33" i="1"/>
  <c r="I39" i="1"/>
  <c r="G39" i="1"/>
  <c r="I37" i="1"/>
  <c r="V58" i="8" s="1"/>
  <c r="G53" i="8" s="1"/>
  <c r="G37" i="1"/>
  <c r="V57" i="8" s="1"/>
  <c r="G52" i="8" s="1"/>
  <c r="I35" i="1"/>
  <c r="G35" i="1"/>
  <c r="I33" i="1"/>
  <c r="V40" i="8" s="1"/>
  <c r="G35" i="8" s="1"/>
  <c r="G33" i="1"/>
  <c r="V39" i="8" s="1"/>
  <c r="G34" i="8" s="1"/>
  <c r="M38" i="1"/>
  <c r="J38" i="1"/>
  <c r="G38" i="1"/>
  <c r="M36" i="1"/>
  <c r="J36" i="1"/>
  <c r="G36" i="1"/>
  <c r="V59" i="8" s="1" a="1"/>
  <c r="V59" i="8" s="1"/>
  <c r="G54" i="8" s="1"/>
  <c r="M34" i="1"/>
  <c r="J34" i="1"/>
  <c r="G34" i="1"/>
  <c r="M32" i="1"/>
  <c r="J32" i="1"/>
  <c r="G32" i="1"/>
  <c r="V41" i="8" s="1" a="1"/>
  <c r="V41" i="8" s="1"/>
  <c r="G36" i="8" s="1"/>
  <c r="D26" i="1"/>
  <c r="D27" i="1"/>
  <c r="D24" i="1"/>
  <c r="Q29" i="8" s="1"/>
  <c r="C30" i="8" s="1"/>
  <c r="D9" i="1"/>
  <c r="M16" i="1"/>
  <c r="V6" i="8" s="1" a="1"/>
  <c r="V6" i="8" s="1"/>
  <c r="G8" i="8" s="1"/>
  <c r="G16" i="1"/>
  <c r="V5" i="8" s="1" a="1"/>
  <c r="V5" i="8" s="1"/>
  <c r="G7" i="8" s="1"/>
  <c r="G15" i="1"/>
  <c r="V7" i="8" s="1" a="1"/>
  <c r="V7" i="8" s="1"/>
  <c r="G9" i="8" s="1"/>
  <c r="D11" i="1"/>
  <c r="AZ10" i="1"/>
  <c r="D7" i="1"/>
  <c r="D8" i="1"/>
  <c r="D4" i="1"/>
  <c r="V91" i="8" l="1"/>
  <c r="G86" i="8" s="1"/>
  <c r="B86" i="8" s="1"/>
  <c r="V90" i="8"/>
  <c r="G85" i="8" s="1"/>
  <c r="B85" i="8" s="1"/>
  <c r="V88" i="8"/>
  <c r="G83" i="8" s="1"/>
  <c r="B83" i="8" s="1"/>
  <c r="V87" i="8"/>
  <c r="G82" i="8" s="1"/>
  <c r="B82" i="8" s="1"/>
  <c r="Q49" i="8" a="1"/>
  <c r="Q49" i="8" s="1"/>
  <c r="C43" i="8" s="1"/>
  <c r="C44" i="8" s="1"/>
  <c r="C45" i="8" s="1"/>
  <c r="C46" i="8" s="1"/>
  <c r="C47" i="8" s="1"/>
  <c r="C48" i="8" s="1"/>
  <c r="C49" i="8" s="1"/>
  <c r="C50" i="8" s="1"/>
  <c r="C51"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tc={A139C3D3-2531-400E-B6A8-7A2F5708B757}</author>
  </authors>
  <commentList>
    <comment ref="C92" authorId="0" shapeId="0" xr:uid="{A139C3D3-2531-400E-B6A8-7A2F5708B757}">
      <text>
        <t>[Threaded comment]
Your version of Excel allows you to read this threaded comment; however, any edits to it will get removed if the file is opened in a newer version of Excel. Learn more: https://go.microsoft.com/fwlink/?linkid=870924
Comment:
    It seemd you've updated the reference in the list, but not throughout the template. Please review and update.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tc={3F660A31-78D0-4509-997A-04CEAAD567BF}</author>
  </authors>
  <commentList>
    <comment ref="C92" authorId="0" shapeId="0" xr:uid="{3F660A31-78D0-4509-997A-04CEAAD567BF}">
      <text>
        <t>[Threaded comment]
Your version of Excel allows you to read this threaded comment; however, any edits to it will get removed if the file is opened in a newer version of Excel. Learn more: https://go.microsoft.com/fwlink/?linkid=870924
Comment:
    It seemd you've updated the reference in the list, but not throughout the template. Please review and update.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<sst xmlns="http://schemas.openxmlformats.org/spreadsheetml/2006/main" count="2414" uniqueCount="512">
  <si>
    <t>GENERAL INSTRUCTIONS</t>
  </si>
  <si>
    <t>●</t>
  </si>
  <si>
    <t>The technology factsheet contains information about one specific option (e.g. capacity, potential, costs, energy and emission effects and supporting descriptions).</t>
  </si>
  <si>
    <t>The factsheet should be filled-in by technical experts in the technology field and used as a reference internally (e.g. input for OPERA model) and externally.</t>
  </si>
  <si>
    <t xml:space="preserve">The data in the technology factsheet is for technology options in the Netherlands and could be used for EU countries. </t>
  </si>
  <si>
    <t>A regular update of technology factsheet is required every 3-5 years.</t>
  </si>
  <si>
    <t>Read carefully the definitions and instructions for each parameter below and fill-in all data in the 'Data input' tab. The data will be automatically allocated in the factsheet (see 'Factsheet' tab).</t>
  </si>
  <si>
    <t>The 'Factsheet' tab is locked. If a change is necessary, please send a request to Silvana Gamboa or Koen Smekens.</t>
  </si>
  <si>
    <t>→</t>
  </si>
  <si>
    <r>
      <rPr>
        <b/>
        <i/>
        <sz val="12"/>
        <color theme="1"/>
        <rFont val="Calibri"/>
        <family val="2"/>
        <scheme val="minor"/>
      </rPr>
      <t>READ ME</t>
    </r>
    <r>
      <rPr>
        <i/>
        <sz val="12"/>
        <color theme="1"/>
        <rFont val="Calibri"/>
        <family val="2"/>
        <scheme val="minor"/>
      </rPr>
      <t>: Definitions of parameters and instructions. Units and conversions factors (incl. monetary conversions) are also found below.</t>
    </r>
  </si>
  <si>
    <r>
      <rPr>
        <b/>
        <i/>
        <sz val="12"/>
        <color theme="1"/>
        <rFont val="Calibri"/>
        <family val="2"/>
        <scheme val="minor"/>
      </rPr>
      <t>Data input:</t>
    </r>
    <r>
      <rPr>
        <i/>
        <sz val="12"/>
        <color theme="1"/>
        <rFont val="Calibri"/>
        <family val="2"/>
        <scheme val="minor"/>
      </rPr>
      <t xml:space="preserve"> Technology factsheet data to be filled-in by the expert.</t>
    </r>
  </si>
  <si>
    <r>
      <rPr>
        <b/>
        <i/>
        <sz val="12"/>
        <color theme="1"/>
        <rFont val="Calibri"/>
        <family val="2"/>
        <scheme val="minor"/>
      </rPr>
      <t xml:space="preserve">Technology Factsheet: </t>
    </r>
    <r>
      <rPr>
        <i/>
        <sz val="12"/>
        <color theme="1"/>
        <rFont val="Calibri"/>
        <family val="2"/>
        <scheme val="minor"/>
      </rPr>
      <t>Factsheet filled-in automatically from the data in the 'Data input' tab. This tab is protected.</t>
    </r>
  </si>
  <si>
    <r>
      <rPr>
        <b/>
        <i/>
        <sz val="12"/>
        <color theme="1"/>
        <rFont val="Calibri"/>
        <family val="2"/>
        <scheme val="minor"/>
      </rPr>
      <t>List:</t>
    </r>
    <r>
      <rPr>
        <i/>
        <sz val="12"/>
        <color theme="1"/>
        <rFont val="Calibri"/>
        <family val="2"/>
        <scheme val="minor"/>
      </rPr>
      <t xml:space="preserve"> Lists of sectors, units, energy carriers, etc. that are used in the 'Data input' tab (drop-down menu's)</t>
    </r>
  </si>
  <si>
    <r>
      <rPr>
        <b/>
        <i/>
        <sz val="12"/>
        <color theme="1"/>
        <rFont val="Calibri"/>
        <family val="2"/>
        <scheme val="minor"/>
      </rPr>
      <t>Calculations:</t>
    </r>
    <r>
      <rPr>
        <i/>
        <sz val="12"/>
        <color theme="1"/>
        <rFont val="Calibri"/>
        <family val="2"/>
        <scheme val="minor"/>
      </rPr>
      <t xml:space="preserve"> Here, calcuations, screen-shots and other references can be placed to back-up the data of the factsheet. Please note that the information placed here will not be included in the Technology Factsheet for disclosure.</t>
    </r>
  </si>
  <si>
    <r>
      <rPr>
        <b/>
        <i/>
        <sz val="12"/>
        <color theme="1"/>
        <rFont val="Calibri"/>
        <family val="2"/>
        <scheme val="minor"/>
      </rPr>
      <t xml:space="preserve">Visual representation: </t>
    </r>
    <r>
      <rPr>
        <i/>
        <sz val="12"/>
        <color theme="1"/>
        <rFont val="Calibri"/>
        <family val="2"/>
        <scheme val="minor"/>
      </rPr>
      <t xml:space="preserve">A relevant visual representation of the technology can be placed here. The image will be placed in the final technology factsheet to be disclosed. </t>
    </r>
  </si>
  <si>
    <t>PARAMETER</t>
  </si>
  <si>
    <t>DEFINITION</t>
  </si>
  <si>
    <t>HOW TO FILL-IN THE FACTSHEET?</t>
  </si>
  <si>
    <t>Sector</t>
  </si>
  <si>
    <t>To which sector the technology belongs to (according to OPERA classification).</t>
  </si>
  <si>
    <t xml:space="preserve">Select the sector from the drop-down menu. If the sector is not available in the menu, please specify in the field 'Other'. </t>
  </si>
  <si>
    <t>New sectors can be added to the drop-down menu within the tab 'List' upon request.</t>
  </si>
  <si>
    <t>ETS / Non-ETS</t>
  </si>
  <si>
    <t>Indicate if the technology falls within the Emissions Trading Scheme (ETS).</t>
  </si>
  <si>
    <t>Type of Technology</t>
  </si>
  <si>
    <t xml:space="preserve">Examples: renewable, saving, CCS, biomass, emission reduction, network (e.g. transformer), etc. </t>
  </si>
  <si>
    <t xml:space="preserve">Select the type of technology from the drop-down menu. New types of technologies can be added within the tab 'List' upon request. </t>
  </si>
  <si>
    <t>Description</t>
  </si>
  <si>
    <t xml:space="preserve">Description of the technology, including technology boundaries, components, applications, etc. </t>
  </si>
  <si>
    <t xml:space="preserve">TRL </t>
  </si>
  <si>
    <t>Please specify data sources in the explanation box.</t>
  </si>
  <si>
    <t xml:space="preserve">NASA/DOD Technology Readiness Level </t>
  </si>
  <si>
    <t>TRL 9</t>
  </si>
  <si>
    <t>Actual system 'flight proven' through succesful mission operations</t>
  </si>
  <si>
    <t>TRL 8</t>
  </si>
  <si>
    <t>Actual system completed and 'flight qualified' through test and demonstration</t>
  </si>
  <si>
    <t>TRL 7</t>
  </si>
  <si>
    <t>System prototype demonstration in space environment</t>
  </si>
  <si>
    <t>TRL 6</t>
  </si>
  <si>
    <t>System/subsystem model or prototype demonstration in a relevant environment (ground or space)</t>
  </si>
  <si>
    <t>TRL 5</t>
  </si>
  <si>
    <t>Component and/or breadboard validation in relevant environment</t>
  </si>
  <si>
    <t>TRL 4</t>
  </si>
  <si>
    <t>Component and/or breadboard validation in laboratory environment</t>
  </si>
  <si>
    <t>TRL 3</t>
  </si>
  <si>
    <t>Analytical and experimental critical function and/or characteristic proof-of-concept</t>
  </si>
  <si>
    <t>TRL 2</t>
  </si>
  <si>
    <t>Technology concept and/or application formulated</t>
  </si>
  <si>
    <t>TRL 1</t>
  </si>
  <si>
    <t>Basic principles observed and reported</t>
  </si>
  <si>
    <t>TECHNICAL DIMENSIONS</t>
  </si>
  <si>
    <t>Factsheet Functional Unit</t>
  </si>
  <si>
    <t>Unit in which the capacity for production of the main output is expressed e.g. Mton or PJ</t>
  </si>
  <si>
    <t>The Factsheet Functional Unit chosen provides a reference for the other parameters (i.e. capacity) in order to keep consistency through the factsheet.</t>
  </si>
  <si>
    <t>Select the functional unit from the drop-down menu. Conversion factors are found at the bottom of this tab (please specify in the explanation box if other conversion factors are used).</t>
  </si>
  <si>
    <t>Capacity</t>
  </si>
  <si>
    <t xml:space="preserve">The typical technology capacity size or sizes if there is clear size dependent data. </t>
  </si>
  <si>
    <t xml:space="preserve">Technologies that differ largely in size (e.g. large and small scale) must be placed in different factsheets. </t>
  </si>
  <si>
    <t xml:space="preserve">Specify the Capacity value and its respective reference from up to 5 different data sources. Please aggregate all sources in the references and sources box at the bottom of 'Data input' tab. </t>
  </si>
  <si>
    <t xml:space="preserve">Data ranges (min,max) will be automatically allocated in the factsheet. </t>
  </si>
  <si>
    <t>Potential</t>
  </si>
  <si>
    <t>How much of the technology option can be installed in The Netherlands or EU?</t>
  </si>
  <si>
    <t xml:space="preserve">Specify the Potential value and its respective reference from up to 5 different data sources. Please aggregate all sources in the references and sources box at the bottom of 'Data input' tab. </t>
  </si>
  <si>
    <t>Select which region is covered for the potential from the drop-down menu.</t>
  </si>
  <si>
    <t>Market share (Deployment share)</t>
  </si>
  <si>
    <t>Market share can be optional for some technologies, in that case, please specify the Potential instead or vice-versa.</t>
  </si>
  <si>
    <t xml:space="preserve">Specify the Market share and its respective reference from up to 5 different data sources. Please aggregate all sources in the references and sources box at the bottom of 'Data input' tab. </t>
  </si>
  <si>
    <t>Capacity utilization factor</t>
  </si>
  <si>
    <t xml:space="preserve">The capacity utilization factor is the percentage of the total capacity that is actually being utilized e.g. capacity expansion to absorb additional renewable electricity or over-dimensioning.  </t>
  </si>
  <si>
    <t>If the capacity utlization factor is not filled-in, the value will be automatically assigned as one.</t>
  </si>
  <si>
    <t>Full-load running hours per year</t>
  </si>
  <si>
    <t>The typical number of hours that the technology in question operates per year.</t>
  </si>
  <si>
    <t>Unit of Activity</t>
  </si>
  <si>
    <t>Unit of annual production (output) per year</t>
  </si>
  <si>
    <t xml:space="preserve">Select the activity unit from the drop-down menu. </t>
  </si>
  <si>
    <t>Activity (Cap2Act) (Optional)</t>
  </si>
  <si>
    <t>Actual annual production (output) per year</t>
  </si>
  <si>
    <t>Specify the value for Activity.</t>
  </si>
  <si>
    <t>Activity = Capacity*Load Factor</t>
  </si>
  <si>
    <t>Only relevant for infrastructure technologies (e.g. the amount of energy per hour that can be delivered)</t>
  </si>
  <si>
    <t>Technical lifetime (years)</t>
  </si>
  <si>
    <t>The total amount of years during which the technology can technically perform/function before it must be replaced.</t>
  </si>
  <si>
    <t>Progress ratio</t>
  </si>
  <si>
    <t>Hourly profile</t>
  </si>
  <si>
    <t>Is there an hourly profile for the technology?</t>
  </si>
  <si>
    <t>Select YES/NO</t>
  </si>
  <si>
    <t xml:space="preserve">COSTS </t>
  </si>
  <si>
    <t>Year of Euro</t>
  </si>
  <si>
    <t>Investment costs</t>
  </si>
  <si>
    <t xml:space="preserve">The investments costs are in the case of a new application of the technology. This includes purchase costs, construction costs, net equipment costs and installation costs. Excludes indirect costs, design and site-specific costs. </t>
  </si>
  <si>
    <t>Specify in the costs explanation box what specifically is included in the investment costs.</t>
  </si>
  <si>
    <t xml:space="preserve">The costs should not be annualized. Site-specific costs (greenfield/brownfield), pre-design costs, pre-construction costs, financing costs should be extracted from the total value. </t>
  </si>
  <si>
    <t xml:space="preserve">Other costs </t>
  </si>
  <si>
    <t>E.g. electricity connection costs,  demolition and removal costs of decommissioned installations.</t>
  </si>
  <si>
    <t>Please specify Other costs within the Costs explanation box.</t>
  </si>
  <si>
    <t>Data input same as above.</t>
  </si>
  <si>
    <t xml:space="preserve">Fixed operational costs (excluding fuel costs) </t>
  </si>
  <si>
    <t>Fixed operational costs are per year.</t>
  </si>
  <si>
    <t xml:space="preserve">Variable costs (excluding fuel costs) </t>
  </si>
  <si>
    <t>Variable costs are per year.</t>
  </si>
  <si>
    <t>ENERGY IN- AND OUTPUTS</t>
  </si>
  <si>
    <t>Energy carriers</t>
  </si>
  <si>
    <t>Input/output of energy carriers per unit of the main output. The technology may consume/produce more than one input/output.</t>
  </si>
  <si>
    <t xml:space="preserve">Select the energy carrier from the drop-down menu (please specify the main output first). Other energy carriers can be added within the tab 'List' upon request. </t>
  </si>
  <si>
    <t>For each technology, the amount of energy input/output to the process have to be filled in. The process may require more than one input e.g. available waste heat streams can be described as energy outputs or captured CO2 can also be seen as an output).</t>
  </si>
  <si>
    <t>MATERIAL FLOWS (Optional)</t>
  </si>
  <si>
    <t xml:space="preserve">Material flows </t>
  </si>
  <si>
    <t xml:space="preserve">Optional except for technologies with activity level associated e.g. iron, steel, ammonia production, ethylene, ethene. </t>
  </si>
  <si>
    <t xml:space="preserve">EMISSIONS </t>
  </si>
  <si>
    <t>Emissions</t>
  </si>
  <si>
    <t>Non-fuel/energy-related emissions or emissions reductions (e.g. CCS)</t>
  </si>
  <si>
    <t xml:space="preserve">Select the substance and unit from the drop-down menu. Other emissions can be added within the tab 'List' upon request. </t>
  </si>
  <si>
    <t>OTHER (Optional)</t>
  </si>
  <si>
    <t>Other</t>
  </si>
  <si>
    <t>Extra relevant parameters for specific technologies e.g. charge/discharge time for batteries, efficiency, etc.</t>
  </si>
  <si>
    <t xml:space="preserve">Specify the parameter and unit adding more details in the explanations box below the sub- section. Here, you can specify the relevance of this parameter for the specific technology and references.  </t>
  </si>
  <si>
    <t>REFERENCES AND SOURCES</t>
  </si>
  <si>
    <t>UNITS</t>
  </si>
  <si>
    <t>Bln vehicle - km</t>
  </si>
  <si>
    <t>Use this unit to represent transport technologies</t>
  </si>
  <si>
    <t>GWe</t>
  </si>
  <si>
    <t>Gigawatt electrical</t>
  </si>
  <si>
    <t>kton</t>
  </si>
  <si>
    <t>Kiloton</t>
  </si>
  <si>
    <t>Mton</t>
  </si>
  <si>
    <t>Megaton</t>
  </si>
  <si>
    <t>Mton ethene</t>
  </si>
  <si>
    <t>Megaton ethene</t>
  </si>
  <si>
    <t>Mton NH3</t>
  </si>
  <si>
    <t>Megaton Ammonia</t>
  </si>
  <si>
    <t>Mton steel</t>
  </si>
  <si>
    <t>Megaton steel</t>
  </si>
  <si>
    <t>Mvtg</t>
  </si>
  <si>
    <t>Million vehicles</t>
  </si>
  <si>
    <t>PJ</t>
  </si>
  <si>
    <t>PetaJoule</t>
  </si>
  <si>
    <t>CONVERSION FACTORS</t>
  </si>
  <si>
    <t>COMMON CONVERSIONS</t>
  </si>
  <si>
    <t>1 MWh = 3,6 GJ</t>
  </si>
  <si>
    <t>1 GWh = 3,6 TJ</t>
  </si>
  <si>
    <t xml:space="preserve">1 TWh = 3,6 PJ </t>
  </si>
  <si>
    <t>OTHER CONVERSIONS</t>
  </si>
  <si>
    <t xml:space="preserve">The International Energy Agency offers a converter for energy units, you can find the converter in the link below: </t>
  </si>
  <si>
    <t>https://www.iea.org/statistics/resources/unitconverter/</t>
  </si>
  <si>
    <t>MONETARY CONVERSIONS</t>
  </si>
  <si>
    <t>Harmonised Index of Consumer Prices (HICP) for the Netherlands:</t>
  </si>
  <si>
    <t xml:space="preserve">Source: https://goo.gl/rvWufC </t>
  </si>
  <si>
    <t>TEMPLATE VERSION - CHANGE LOG</t>
  </si>
  <si>
    <t>Last change date</t>
  </si>
  <si>
    <t>Changes</t>
  </si>
  <si>
    <t>Final version of template</t>
  </si>
  <si>
    <t>Factsheet name in dark blue in the 'Technology Factsheet' tab</t>
  </si>
  <si>
    <t>Change to decimal separator (.) and thousand separator (,)</t>
  </si>
  <si>
    <r>
      <t xml:space="preserve">Fix error in 'Other' section from 'Technology Factsheet' tab: Data input in D77 should come from </t>
    </r>
    <r>
      <rPr>
        <i/>
        <sz val="12"/>
        <color theme="1"/>
        <rFont val="Calibri"/>
        <family val="2"/>
        <scheme val="minor"/>
      </rPr>
      <t xml:space="preserve">Input Data!D87 </t>
    </r>
  </si>
  <si>
    <t>Update all values in the 'Technology Factsheet' tab to 2 decimals</t>
  </si>
  <si>
    <t>Cell 'Author name' added to the 'Data Input' tab</t>
  </si>
  <si>
    <t>Sectors:</t>
  </si>
  <si>
    <t>Type of Technology:</t>
  </si>
  <si>
    <t>Functional Units Capacity:</t>
  </si>
  <si>
    <t>Functional Units Activity:</t>
  </si>
  <si>
    <t>Variable costs units:</t>
  </si>
  <si>
    <t xml:space="preserve">Energy carriers: </t>
  </si>
  <si>
    <t>Energy Carriers Units:</t>
  </si>
  <si>
    <t>Material flows:</t>
  </si>
  <si>
    <t>Emissions:</t>
  </si>
  <si>
    <t>Emissions Units:</t>
  </si>
  <si>
    <t>Please select main output here</t>
  </si>
  <si>
    <t>Please select</t>
  </si>
  <si>
    <t>Please select based on chosen Functional Unit</t>
  </si>
  <si>
    <t>ETS</t>
  </si>
  <si>
    <t>Agriculture: Horticulture</t>
  </si>
  <si>
    <t>Biomass</t>
  </si>
  <si>
    <t>Bln vehicle - km/year</t>
  </si>
  <si>
    <t>MWh</t>
  </si>
  <si>
    <t>Ambient heat</t>
  </si>
  <si>
    <t>CH4</t>
  </si>
  <si>
    <t>Non-ETS</t>
  </si>
  <si>
    <t>Agriculture: Other</t>
  </si>
  <si>
    <t>CCS</t>
  </si>
  <si>
    <t>MWth</t>
  </si>
  <si>
    <t>MWh th/year</t>
  </si>
  <si>
    <t>Biobenzine</t>
  </si>
  <si>
    <t>Add here -&gt;</t>
  </si>
  <si>
    <t>CO2</t>
  </si>
  <si>
    <t>Electricity generation</t>
  </si>
  <si>
    <t>Emission reduction</t>
  </si>
  <si>
    <t>kton/year</t>
  </si>
  <si>
    <t>kWh</t>
  </si>
  <si>
    <t>Biodiesel</t>
  </si>
  <si>
    <t>F-gassen</t>
  </si>
  <si>
    <t>Mton CO2-eq</t>
  </si>
  <si>
    <t>Gas supply</t>
  </si>
  <si>
    <t>Energy saving</t>
  </si>
  <si>
    <t>Mton/year</t>
  </si>
  <si>
    <t>Biofuels</t>
  </si>
  <si>
    <t>N2O</t>
  </si>
  <si>
    <t>Yes</t>
  </si>
  <si>
    <t>Households</t>
  </si>
  <si>
    <t>Renewable</t>
  </si>
  <si>
    <t>Mton ethene/year</t>
  </si>
  <si>
    <t>Biofuels FT</t>
  </si>
  <si>
    <t>No</t>
  </si>
  <si>
    <t>Hydrogen</t>
  </si>
  <si>
    <t>CHP</t>
  </si>
  <si>
    <t>Mton NH3/year</t>
  </si>
  <si>
    <t>Biogas</t>
  </si>
  <si>
    <t>Fijn stof PM2,5</t>
  </si>
  <si>
    <t>Industry: Anorganic chemics</t>
  </si>
  <si>
    <t>Network</t>
  </si>
  <si>
    <t>Mton steel/year</t>
  </si>
  <si>
    <t>Bio-LPG</t>
  </si>
  <si>
    <t>SO2</t>
  </si>
  <si>
    <t>Please select the region</t>
  </si>
  <si>
    <t>Industry: Chemics</t>
  </si>
  <si>
    <t>Storage</t>
  </si>
  <si>
    <t>Biomass (coferment)</t>
  </si>
  <si>
    <t>NH3</t>
  </si>
  <si>
    <t>NL</t>
  </si>
  <si>
    <t>Industry: Construction</t>
  </si>
  <si>
    <t xml:space="preserve">Electrolysis </t>
  </si>
  <si>
    <t>Biomass (VFG &amp; FBI)</t>
  </si>
  <si>
    <t>NMVOS</t>
  </si>
  <si>
    <t>EU</t>
  </si>
  <si>
    <t>Industry: Fertiliser</t>
  </si>
  <si>
    <t xml:space="preserve">Methanation </t>
  </si>
  <si>
    <t>Biomass (high quality)</t>
  </si>
  <si>
    <t>NOx</t>
  </si>
  <si>
    <t>Global</t>
  </si>
  <si>
    <t>Industry: Generic</t>
  </si>
  <si>
    <t>Biomass (manure)</t>
  </si>
  <si>
    <t>Industry: Iron and steel</t>
  </si>
  <si>
    <t>Biomass (starch)</t>
  </si>
  <si>
    <t xml:space="preserve">mln. € / </t>
  </si>
  <si>
    <t>Industry: Non ETS</t>
  </si>
  <si>
    <t>Biomass (sugars)</t>
  </si>
  <si>
    <t xml:space="preserve">€ / </t>
  </si>
  <si>
    <t>Industry: Petrochemics</t>
  </si>
  <si>
    <t>Biomass (waste biogenic)</t>
  </si>
  <si>
    <t>Mobile machinery</t>
  </si>
  <si>
    <t>Biomass (wet streams)</t>
  </si>
  <si>
    <t>Refineries</t>
  </si>
  <si>
    <t>Biomass (wood import)</t>
  </si>
  <si>
    <t>Trade, services and utilities</t>
  </si>
  <si>
    <t>Biomass (wood domestic)</t>
  </si>
  <si>
    <t>Transport</t>
  </si>
  <si>
    <t>Biomass (wood)</t>
  </si>
  <si>
    <t>Bio-waste gases</t>
  </si>
  <si>
    <t>Blast furnace gas</t>
  </si>
  <si>
    <t>CCF gas</t>
  </si>
  <si>
    <t>Chemical residual gas</t>
  </si>
  <si>
    <t>Coal</t>
  </si>
  <si>
    <t>Coke</t>
  </si>
  <si>
    <t>Coke oven gas</t>
  </si>
  <si>
    <t>Coking coal</t>
  </si>
  <si>
    <t>Diesel</t>
  </si>
  <si>
    <t>Electricity</t>
  </si>
  <si>
    <t>Energy content manure</t>
  </si>
  <si>
    <t>Fermentation gas</t>
  </si>
  <si>
    <t>Gasoline</t>
  </si>
  <si>
    <t>Geothermal heat</t>
  </si>
  <si>
    <t>Heat</t>
  </si>
  <si>
    <t>Heavy fuel oil</t>
  </si>
  <si>
    <t>Import electricity</t>
  </si>
  <si>
    <t>Injection coal</t>
  </si>
  <si>
    <t>LPG</t>
  </si>
  <si>
    <t>Natural gas</t>
  </si>
  <si>
    <t>Natural gas feedstock</t>
  </si>
  <si>
    <t>Oil</t>
  </si>
  <si>
    <t>Oil excluding gases</t>
  </si>
  <si>
    <t>Oil raw materials</t>
  </si>
  <si>
    <t>Other bio-oil products</t>
  </si>
  <si>
    <t>Other oil products</t>
  </si>
  <si>
    <t>Residual gases</t>
  </si>
  <si>
    <t>Solar energy</t>
  </si>
  <si>
    <t>Synthetic fuels</t>
  </si>
  <si>
    <t>Uranium</t>
  </si>
  <si>
    <t>Waste (non-biogenic)</t>
  </si>
  <si>
    <t>Wind energy</t>
  </si>
  <si>
    <t>Benzine</t>
  </si>
  <si>
    <t>Bioethanol</t>
  </si>
  <si>
    <t>Coal excluding gases</t>
  </si>
  <si>
    <t>Electricity import</t>
  </si>
  <si>
    <t>Fuel oil</t>
  </si>
  <si>
    <t>High Pressure Steam</t>
  </si>
  <si>
    <t>Hydro</t>
  </si>
  <si>
    <t>Kerosene</t>
  </si>
  <si>
    <t>Oil feedstock</t>
  </si>
  <si>
    <t>Oil products</t>
  </si>
  <si>
    <t>Propane</t>
  </si>
  <si>
    <t>SNG</t>
  </si>
  <si>
    <t>Steam</t>
  </si>
  <si>
    <t>BioHFO</t>
  </si>
  <si>
    <t>Biokerosene</t>
  </si>
  <si>
    <t>Biomass (UFO import)</t>
  </si>
  <si>
    <t>FACTSHEET DATA INPUT</t>
  </si>
  <si>
    <t>Please fill-in here all technology option data including detailed references and sources at the bottom.</t>
  </si>
  <si>
    <t>TECHNOLOGY DESCRIPTION</t>
  </si>
  <si>
    <t>Name of technology option</t>
  </si>
  <si>
    <t>Geothermal heat production, deep, (&gt;1500 &lt; 4000 meter)</t>
  </si>
  <si>
    <t>Date of factsheet</t>
  </si>
  <si>
    <t>Author name</t>
  </si>
  <si>
    <t>Koen Smekens</t>
  </si>
  <si>
    <t>Industry, built environment (heat &lt; 100 C)</t>
  </si>
  <si>
    <t>TRL level 2020</t>
  </si>
  <si>
    <t>Only a limited amount of  geothermal heat production installations exist in the Netherlands in 2020, of which all are situated in the horticultural sector. About 50 more have applied for SDE subsidy (up to 2020). Although geothermal for heat generation is a fairly young application, much of the knowledge needed on the underground and on drilling exists from the vast amount of experience from oil and gas wells in the Netherlands. Most of the techniques applied (drilling, oil/gas separation, heat exchangers) are mature and commercially available. There is still room for improvement in the use of advanced materials, smarter drilling campaigns and projects' experience, hence a TRL level 8 is chosen.
Staatstoezicht op de Mijnen (SoDM) controls the safe working of the projects and the Dutch association of geothermal operators (DAGO) is developing a number of guidelines to professionalise installations and operators. TNO's geology unit approves the project data (expected heat output and volumes) in order to be eligible for subsidy (SDE++). They also monitor and publish production on a monthly basis (nlog.nl).</t>
  </si>
  <si>
    <t>Functional Unit</t>
  </si>
  <si>
    <t>Main Source</t>
  </si>
  <si>
    <t>Source 2</t>
  </si>
  <si>
    <t>Source 3</t>
  </si>
  <si>
    <t>Source 4</t>
  </si>
  <si>
    <t>Source 5</t>
  </si>
  <si>
    <t>SDE+ 2021</t>
  </si>
  <si>
    <t>Reference</t>
  </si>
  <si>
    <t>Context</t>
  </si>
  <si>
    <t>Unit</t>
  </si>
  <si>
    <t>2020 (Current)</t>
  </si>
  <si>
    <t>SPG 2018</t>
  </si>
  <si>
    <t>Market share</t>
  </si>
  <si>
    <t>Specify here the market</t>
  </si>
  <si>
    <t>%</t>
  </si>
  <si>
    <t>Specify here</t>
  </si>
  <si>
    <t>n/a</t>
  </si>
  <si>
    <t>Explanation</t>
  </si>
  <si>
    <t>COSTS</t>
  </si>
  <si>
    <t xml:space="preserve">Reference year: €2015 - If amounts are expresed in other currencies or in euros of another year (e.g. €2014), the amount has to be converted. See conversion method in 'READ ME' tab. Costs are per unit of output. </t>
  </si>
  <si>
    <t>SDE+2021</t>
  </si>
  <si>
    <t>Other costs per year</t>
  </si>
  <si>
    <t>Fixed operational costs per year (excl. fuel costs)</t>
  </si>
  <si>
    <t>Variable costs per year (exc. Fuel costs)</t>
  </si>
  <si>
    <t>Costs explanation</t>
  </si>
  <si>
    <t xml:space="preserve">Values expressed as a ratio per unit of main output. Inputs  as positive and outputs as negative. </t>
  </si>
  <si>
    <t>Energy carrier</t>
  </si>
  <si>
    <t>Energy carriers (per unit of main output)</t>
  </si>
  <si>
    <t>Energy in- and Outputs explanation</t>
  </si>
  <si>
    <t>MATERIAL FLOWS (OPTIONAL)</t>
  </si>
  <si>
    <t>Material flows</t>
  </si>
  <si>
    <t>Material</t>
  </si>
  <si>
    <t>Material flows explanation</t>
  </si>
  <si>
    <t>Explain here</t>
  </si>
  <si>
    <t>EMISSIONS (Non-fuel/energy-related emissions or emissions reductions (e.g. CCS)</t>
  </si>
  <si>
    <t>Substance</t>
  </si>
  <si>
    <t>Emissions explanation</t>
  </si>
  <si>
    <t>Some CO2 emissions could occur while degassing or decompressing the hot brine water from the production well. However, no information is available about the possible leakage rate.  TNO is currently doing research on this matter.  If the gas separator is not working properly, or the separated gas is not completely combusted, CH4 emissions could also occur.</t>
  </si>
  <si>
    <t>OTHER</t>
  </si>
  <si>
    <t>Specify below the other relevant parameters for the specific technology</t>
  </si>
  <si>
    <t>Add here</t>
  </si>
  <si>
    <t>https://www.geothermie.nl/index.php/nl/</t>
  </si>
  <si>
    <t>nlog.nl</t>
  </si>
  <si>
    <t>Others</t>
  </si>
  <si>
    <t>Add other sources here</t>
  </si>
  <si>
    <t>ADD CALCULATIONS AND OTHER REFERENCES HERE (OPTIONAL)</t>
  </si>
  <si>
    <r>
      <t xml:space="preserve">Please note that the information placed here will </t>
    </r>
    <r>
      <rPr>
        <i/>
        <u/>
        <sz val="12"/>
        <color rgb="FFFF0000"/>
        <rFont val="Calibri"/>
        <family val="2"/>
        <scheme val="minor"/>
      </rPr>
      <t>not</t>
    </r>
    <r>
      <rPr>
        <i/>
        <sz val="12"/>
        <color rgb="FFFF0000"/>
        <rFont val="Calibri"/>
        <family val="2"/>
        <scheme val="minor"/>
      </rPr>
      <t xml:space="preserve"> be included in the Technology Factsheet for disclosure, therefore all relevant details and sources used must be specified in the 'Data input' tab.</t>
    </r>
  </si>
  <si>
    <t xml:space="preserve"> data for category </t>
  </si>
  <si>
    <t>SDE++2021</t>
  </si>
  <si>
    <t>Berekeningswijze correctiebedrag</t>
  </si>
  <si>
    <t>(TTF + energiebelasting) / gasketelrendement</t>
  </si>
  <si>
    <t>assumed CoP of installation = 15 range = 10 -20)</t>
  </si>
  <si>
    <t>annual production</t>
  </si>
  <si>
    <t>MWhth</t>
  </si>
  <si>
    <t>MWhe needed</t>
  </si>
  <si>
    <t>assumed electricity price large consumers horticulture: 7,4 ct2015/kWh</t>
  </si>
  <si>
    <t>assumed electricity price large consumers horticulture: 9,1 ct2015/kWh</t>
  </si>
  <si>
    <t>€/year</t>
  </si>
  <si>
    <t>M€/year</t>
  </si>
  <si>
    <t>opex</t>
  </si>
  <si>
    <t>clean opex withpout electricty caost</t>
  </si>
  <si>
    <t>€/kWth</t>
  </si>
  <si>
    <t>M€/MW</t>
  </si>
  <si>
    <t>varom</t>
  </si>
  <si>
    <t>€/kWhth</t>
  </si>
  <si>
    <t>not used, only for SDE+</t>
  </si>
  <si>
    <t>€/MWh</t>
  </si>
  <si>
    <t>M€/MWh</t>
  </si>
  <si>
    <t>ADD VISUAL REPRESENTATION OF TECHNOLOGY HERE (OPTIONAL)</t>
  </si>
  <si>
    <t>If available, a visual representation of the technology can be placed here (including sources) to complement the technology description.</t>
  </si>
  <si>
    <t>Please note that the image will be placed in Technology Factsheet to be disclosed, other non-relevant images can be placed in the 'Calculations' tab.</t>
  </si>
  <si>
    <t>1 above ground installation</t>
  </si>
  <si>
    <t>2 production and injection wells</t>
  </si>
  <si>
    <t>3 brine extraction and injection</t>
  </si>
  <si>
    <t>CHANGE LOG</t>
  </si>
  <si>
    <t>Version:</t>
  </si>
  <si>
    <t>1.1</t>
  </si>
  <si>
    <t>Date:</t>
  </si>
  <si>
    <t>Updates:</t>
  </si>
  <si>
    <t>Visual representation</t>
  </si>
  <si>
    <t>Decimals</t>
  </si>
  <si>
    <t>mln. Euro/Euro</t>
  </si>
  <si>
    <t>Variable costs MWh/PJ/kWh</t>
  </si>
  <si>
    <t>Name of technology option (bigger)</t>
  </si>
  <si>
    <t>ECN part of TNO logo</t>
  </si>
  <si>
    <t>TECHNOLOGY FACTSHEET</t>
  </si>
  <si>
    <t>Author</t>
  </si>
  <si>
    <t>Value and Range</t>
  </si>
  <si>
    <t>-</t>
  </si>
  <si>
    <t>Current</t>
  </si>
  <si>
    <t>−</t>
  </si>
  <si>
    <t>Capacity utlization factor</t>
  </si>
  <si>
    <t>Euro per Functional Unit</t>
  </si>
  <si>
    <t xml:space="preserve">Fixed operational costs per year               (excl. fuel costs) </t>
  </si>
  <si>
    <t>Variable costs per year</t>
  </si>
  <si>
    <t>Main output:</t>
  </si>
  <si>
    <t>Parameter</t>
  </si>
  <si>
    <t xml:space="preserve"> </t>
  </si>
  <si>
    <r>
      <t xml:space="preserve">This technology represents the application of heat production from geothermal formations in The Netherlands. A typical project consists of two wells, a production and an injection well, also called doublet. The wells are either fully vertically drilled or vertical with a curvature deep below. The bottom of the wells is situated in a water holding layer of  sand- or limestone, and lies between 1500 and 4000 meters below ground level. Salty hot water (brine) is pumped up through the production well, cooled in a heat exchanger and injected back underground through the injection well. In principle there is no loss of brine water, but some degassing may be needed as natural gas may be dissolved in the brine and needs to be separated. An alternative is to maintain sufficient pressure so that no natural gas escapes and is injected back underground. The warm water production temperature varies typically between 70 and 90⁰C (max 100⁰C) depending on the depth and the type of layer. For the Netherlands, a temperature gradient of around 30⁰C per kilometer is valid. The injection temperature lies between 35⁰C or lower. Lowering the injection temperature can increase the heat output of the system. Production volumes can be several hundreds m3 per hour, depending on the heat demand and the well characteristics. The installation consists of two bore holes usually in steel with liners, a production pump (Electric Submersible Pump, ESP), an above ground heat exchanger and an injection pump. An oil and/or gas separator is optional. In some cases, anti-scaling prohibitors may be required. Safety measures like a blow-out prevenator and double tubing to avoid and control gas leakage have recently become mandatory in the Netherlands. To date all existing geothermal projects are situated in the horticultural sector, although some proposals exist for projects in the built environment. A heat network or a heat distribution network may be required, but is not part of this factsheet. 
</t>
    </r>
    <r>
      <rPr>
        <sz val="10"/>
        <color theme="1"/>
        <rFont val="Calibri"/>
        <family val="2"/>
      </rPr>
      <t>Legend: 1) above ground installation ; 2) production and injection wells; 3) brine extraction and injection.</t>
    </r>
  </si>
  <si>
    <t>CBS: statline.nl</t>
  </si>
  <si>
    <t>SDE+2021: Eindadvies Basisbedragen SDE+ 2021, PBL 2021.</t>
  </si>
  <si>
    <t>SPG 2018: Masterplan Aardwarmte in Nederland, SPG, DAGO, WN, EBN, 2018.</t>
  </si>
  <si>
    <r>
      <t>The current size of a typical geothermal project is 15 MWth, based on an application in horticulture, with a range between 7 and 30 MWth (SDE++ data up to spring 2020 including existing projects and applications). This size does already include a capacity factor based on existing projects, being the ratio of actual heat power (production) compared  to the expected power output as estimated in the SDE+ subsidy application (pre-drill). An annual full load production time of 6000 hours is assumed for geothermal applications in the horticultural sector, considered baseload. However actual production time varies between 4000 and  8000 hours. In the built environment, full load hours depend on the size of the heat network: in large networks, 6000 hours are possible, in smaller or new networks, 3500 hours is the default.  Much of the amount of full load hours depends on the heat demand profile, quite often this is in U-shape (like a bath tub): higher demand levels in winter compared to intermediate and summer seasons. Geothermal projects in the horticultural sector are designed to run as much as possible as baseload, so with high full load hours. Other sectors, like industry or other applications , could also apply this technology. 
Lifetime is expected to be up to 30 years, but so far no project has been running more than a few years. Technical or seismic problems have caused some projects to be shut down after a few years. Legislation requires that wells have to be closed up in such a way that gas leakage at the end of their life time is prevented.
The sector estimates that geothermal heat could supply 50 PJ in 2030 and 200 PJ in 2050 (13,9 to 55,6 million MWh), or 5% and 22% of the heat demand below 100</t>
    </r>
    <r>
      <rPr>
        <vertAlign val="superscript"/>
        <sz val="11"/>
        <rFont val="Calibri"/>
        <family val="2"/>
      </rPr>
      <t>o</t>
    </r>
    <r>
      <rPr>
        <sz val="11"/>
        <rFont val="Calibri"/>
        <family val="2"/>
      </rPr>
      <t>C (SPG 2018).  Currently (2020) about 6,2 PJ  (1,7 million MWh) of heat is delivered by deep geothermal wells (CBS), but so far only to the horticultural sector as main user. Some geothermal projects in horticulture provide excess heat to the built environment nearby.</t>
    </r>
  </si>
  <si>
    <t>Investment costs include all the elements which are subsidiable under the SDE+ subsidy regulation. Costs for site preparation, licencing and costs of capital are not included. Investment costs do include costs for the above ground elements: heat exchanger, oil/gas separator, connections. Drilling costs form the bulk part of the investments. Costs for a heat distribution network are not included in the cost figures. The cost figure of 1352 €2020/kWth represents the average of observed capex from producing projects and those that have applied for a SDE+ subsidy (status up to 2020). Varying with scale, investment costs range between 1614 euro2020/kWth and 1041 euro2020/kW for &lt;20 MWth and &gt;20 MWth respectively.
The fixed opex is also based on existing or applied projects and includes costs for electricity. The fixed OPEX cost varies between 99 euro2020/kWth and 126 euro2020/kWth for &lt;20 MWth and &gt;20 MWth respectively. Specific for horticulture - as geothermal heat replaces natural gas based heat production - the need for CO2 fertilisation in the greenhouses remains. The costs for buying external CO2 to compensate own natural gas based CO2 supply are not included in the opex.
No information is available about future costs developments, there could be a cost reduction effect from improved drilling campaigns, currently each project sets up its own drilling timeline, and improved components (casing, pumps, gas separators, heat exchangers), which also could reduce the opex. On the other hand, the use of advanced materials, well integrity and increased safety and monitoring issues require higher investments. It is unknown how this combination of effects will influence future costs.
Cost are adjusted to euro 2015 using a 1.02 factor.</t>
  </si>
  <si>
    <t>For 2020, a Coefficent of Performance (CoP or the ratio of required electricity input per heat output, the combined inputs are the energy required per unit of energy output) of 21,4 is assumed (average of SDE++ data available as of 2020), for 2030, 25  (high end of SDE++ data) and, for 2050, 30. Technically, a CoP up to 50 could be reached but this would require the use of other casing materials, special pumps, etc.</t>
  </si>
  <si>
    <t>Title</t>
  </si>
  <si>
    <t>Spills (to ignore)</t>
  </si>
  <si>
    <t>nr</t>
  </si>
  <si>
    <t>Variable</t>
  </si>
  <si>
    <t>Carrier Name</t>
  </si>
  <si>
    <t>Year</t>
  </si>
  <si>
    <t>Range Value</t>
  </si>
  <si>
    <t>Value</t>
  </si>
  <si>
    <t>Cell Status</t>
  </si>
  <si>
    <t>Person in Charge</t>
  </si>
  <si>
    <t>Technology Name</t>
  </si>
  <si>
    <t>Automatic</t>
  </si>
  <si>
    <t>Expert</t>
  </si>
  <si>
    <t>Technology Description</t>
  </si>
  <si>
    <t>Manual + Automatic</t>
  </si>
  <si>
    <t>Factsheet Link</t>
  </si>
  <si>
    <t>Manual</t>
  </si>
  <si>
    <t>Assistant</t>
  </si>
  <si>
    <t>min</t>
  </si>
  <si>
    <t>max</t>
  </si>
  <si>
    <t>main</t>
  </si>
  <si>
    <t>Current Year</t>
  </si>
  <si>
    <t>EMISSIONS</t>
  </si>
  <si>
    <t>The description is limited up to 7 characters.</t>
  </si>
  <si>
    <t>Select the Technology Readiness Level (TRL) for 22 based on the assessment below:</t>
  </si>
  <si>
    <t xml:space="preserve">Current market share and maximum expected market share in the future (23 and 25). </t>
  </si>
  <si>
    <t xml:space="preserve">Only for competing technologies e.g. heat supply appliances for households such as heat pumps with a market share of 8% of the households. </t>
  </si>
  <si>
    <t>Progress ratio (PR) is the cost reduction factor achieved by a doubling of the cumulative installed capacity of a technology.
Learning rate (LR) = 1 – PR
The underlying formula is : Ci= α*Ccumi^b 
Ci = cost of unit i
α = constant (cost unit 1)
Ccumi = Cumulative capacity at time of unit i
b = learning elasticity
A doubling of total cumulative capacity reduces specific costs by a factor of 2b. In the usual case where b is negative, 2b (labelled the progress ratio, PR) is between zero and one. The complement of the progress ratio (1-PR) is called the learning rate (LR). A learning elasticity (b) of -.32, for example, yields a progress ratio of .8 and a learning rate of 2%. This means that the specific capital cost of newly installed capacity decreases by 2% for each doubling of total installed capacity. On a double-logarithmic scale, the decrease in costs appears as a straight line.</t>
  </si>
  <si>
    <t>All costs data must be specified as €215</t>
  </si>
  <si>
    <t>If amounts are expresed in other currencies or in euros of another year (e.g. €216), the amount has to be converted. See Monetary conversions at the bottom of the tab.</t>
  </si>
  <si>
    <t xml:space="preserve">Total investment costs (CAPEX) in (million) euro in 22, 23 and 25 per functional unit (e.g. per MW, per PJ). </t>
  </si>
  <si>
    <t xml:space="preserve">Specify the Costs and their respective reference for 22(current), 23 and 25 from up to 5 different data sources. Please aggregate all sources in the references and sources box at the bottom of 'Data input' tab. </t>
  </si>
  <si>
    <t xml:space="preserve">Specify the values in PJ for 22, 23 and 25 with their respective references from up to 5 different data sources. Please aggregate all sources in the references and sources box at the bottom of 'Data input' tab. Values should be expressed as a ratio per unit of main output whereas inputs should be expressed as positive and values for outputs as negative. </t>
  </si>
  <si>
    <t xml:space="preserve">The value should correspond 'per unit of output' (e.g. output of natural gas with 6% efficiency). Explain the details (i.e. efficiency) in the explanation box. </t>
  </si>
  <si>
    <t>Specify the material flows and units and add the values for 22, 23 and 25 withtheir respective references from up to 5 difference data sources. Please aggregate all sources in the references and sources box at the bottom of 'Data input' tab.</t>
  </si>
  <si>
    <t>Specify the Emissions for 22, 23 and 25 with their respective references from up to 5 difference data sources. Please aggregate all sources in the references and sources box at the bottom of 'Data input' tab.</t>
  </si>
  <si>
    <t>You may add one single value in the main reference for 22 (current) or add values for 22, 23 and 25 with their respective references from up to 5 difference data sources. Please aggregate all sources in the references and sources box at the bottom of 'Data input' tab.</t>
  </si>
  <si>
    <t>For data values: Add references for each value in their 'Reference' cell (i.e. author and year) and aggregate all references with complete description at the bottom of the 'Data input' tab (in order of importance). If more than 1 references, add other sources under 'Others' box.</t>
  </si>
  <si>
    <t>For complementary data and text: Add all data sources with complete description at the bottom of the 'Data input' tab (in order of importance or mostly used). You may link these references with text in the explanatory boxes. If more than 1 references, add other sources under 'Others' box.</t>
  </si>
  <si>
    <t>1 MJ = 16 Joule</t>
  </si>
  <si>
    <t>1 GJ = 19 Joule</t>
  </si>
  <si>
    <t>1 TJ = 112 Joule</t>
  </si>
  <si>
    <t>1 PJ = 115 Joule</t>
  </si>
  <si>
    <t>If amounts are expresed in other currencies or in euros of another year (e.g. €216), the amount has to be converted.</t>
  </si>
  <si>
    <t xml:space="preserve">A standard method to correct for inflation is to use the Harmonised Index of Consumer Prices (HICP) (see below). To convert an amount expressed in €214 to €217, it has to be multiplied by a factor (HICP 217/ HICP 214) = (11,4/99,79) = 1,16. </t>
  </si>
  <si>
    <t>HICP (215 =1)</t>
  </si>
  <si>
    <t>Statistics Netherlands (CBS), “Consumentenprijzen; Europees geharmoniseerde prijsindex 215=1”</t>
  </si>
  <si>
    <t>1/31/218</t>
  </si>
  <si>
    <t>5/1/219</t>
  </si>
  <si>
    <t>5/9/219</t>
  </si>
  <si>
    <t>Fijn stof PM1</t>
  </si>
  <si>
    <t>https://energy.nl/en/factsheet/geothermal-heat-production-deep-15/</t>
  </si>
  <si>
    <t>Instructions:</t>
  </si>
  <si>
    <t>1) make use of the long description to summarize the technology description for ESDL; 2) mention the boundaries of technology potential and market share, if any (see 'context' session: range D22:E26 in this tab)</t>
  </si>
  <si>
    <t>Short Description for ESDL</t>
  </si>
  <si>
    <t xml:space="preserve">This technology represents the application of heat production from geothermal formations in The Netherlands. A typical project consists of two wells, a production and an injection well, also called doublet. </t>
  </si>
  <si>
    <t>ktonne</t>
  </si>
  <si>
    <t>Mtonne</t>
  </si>
  <si>
    <t>ktonne/year</t>
  </si>
  <si>
    <t>Mtonne CO2-eq</t>
  </si>
  <si>
    <t>Mtonne/year</t>
  </si>
  <si>
    <t>Mtonne ethene</t>
  </si>
  <si>
    <t>Mtonne ethene/year</t>
  </si>
  <si>
    <t>Mtonne NH3</t>
  </si>
  <si>
    <t>Mtonne NH3/year</t>
  </si>
  <si>
    <t>Mtonne steel</t>
  </si>
  <si>
    <t>Mtonne steel/year</t>
  </si>
  <si>
    <t>MW</t>
  </si>
  <si>
    <t>MWh/year</t>
  </si>
  <si>
    <t>kW</t>
  </si>
  <si>
    <t>Some CH4 emissions could occur while degassing or decompressing the hot brine water from the production well. However, no information is available about the possible leakage rate.  TNO is currently doing research on this matter.  If the gas separator is not working properly, or the separated gas is not completely combusted, CH4 emissions could also occur.</t>
  </si>
  <si>
    <t>Log KSm for ESDL</t>
  </si>
  <si>
    <t>date</t>
  </si>
  <si>
    <t>tab name</t>
  </si>
  <si>
    <t>cell (marked in yellow)</t>
  </si>
  <si>
    <t>change</t>
  </si>
  <si>
    <t>List</t>
  </si>
  <si>
    <t>J7</t>
  </si>
  <si>
    <t>changed to Mtonne instead of Mtonne crude steel</t>
  </si>
  <si>
    <t xml:space="preserve">Data input </t>
  </si>
  <si>
    <t>D16</t>
  </si>
  <si>
    <t>functional unit changed to kW</t>
  </si>
  <si>
    <t>D29</t>
  </si>
  <si>
    <t>unit changed to MW</t>
  </si>
  <si>
    <t>F22</t>
  </si>
  <si>
    <t>G17</t>
  </si>
  <si>
    <t>unit changed to kW</t>
  </si>
  <si>
    <t>row 38, 42 cost values changed to €/kW en rounded (0 decimals)</t>
  </si>
  <si>
    <t>row 52</t>
  </si>
  <si>
    <t>column G,L,Q values changed to hard value (2 decimals)</t>
  </si>
  <si>
    <t>facstheets</t>
  </si>
  <si>
    <t>B17-C19</t>
  </si>
  <si>
    <t>unmerged header cell</t>
  </si>
  <si>
    <t>F13</t>
  </si>
  <si>
    <t>changed to MW</t>
  </si>
  <si>
    <t>F14</t>
  </si>
  <si>
    <t>added kW</t>
  </si>
  <si>
    <t>H5</t>
  </si>
  <si>
    <t>column F</t>
  </si>
  <si>
    <t>row 50,52,54 changed to MWh</t>
  </si>
  <si>
    <t>column G, H, I</t>
  </si>
  <si>
    <t>changed to MWh/year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</si>
</sst>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 \ \ \ #,##0.00_ ;_ \ \ \ \ \-#,##0.00_ ;_ \ \ \ \ &quot;-&quot;??_ ;_ @_ "/>
    <numFmt numFmtId="165" formatCode="_ \ #,##0.00_ ;_ \ \-#,##0.00_ ;_ \ &quot;-&quot;??_ ;_ @_ "/>
    <numFmt numFmtId="166" formatCode="_ * #,##0_ ;_ * \-#,##0_ ;_ * &quot;-&quot;??_ ;_ @_ "/>
    <numFmt numFmtId="167" formatCode="_ * #,##0.000_ ;_ * \-#,##0.000_ ;_ * &quot;-&quot;??_ ;_ @_ "/>
  </numFmts>
  <fonts count="60" x14ac:knownFonts="1">
    <font>
      <sz val="12"/>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1"/>
      <color theme="1"/>
      <name val="Calibri"/>
      <family val="2"/>
      <scheme val="minor"/>
    </font>
    <font>
      <sz val="12"/>
      <name val="Calibri"/>
      <family val="2"/>
    </font>
    <font>
      <sz val="12"/>
      <color theme="1"/>
      <name val="Calibri"/>
      <family val="2"/>
    </font>
    <font>
      <b/>
      <sz val="12"/>
      <color theme="1"/>
      <name val="Calibri"/>
      <family val="2"/>
    </font>
    <font>
      <i/>
      <sz val="12"/>
      <color rgb="FFFF0000"/>
      <name val="Calibri"/>
      <family val="2"/>
      <scheme val="minor"/>
    </font>
    <font>
      <sz val="14"/>
      <color theme="1"/>
      <name val="Calibri"/>
      <family val="2"/>
      <scheme val="minor"/>
    </font>
    <font>
      <b/>
      <u/>
      <sz val="16"/>
      <color theme="1"/>
      <name val="Calibri"/>
      <family val="2"/>
      <scheme val="minor"/>
    </font>
    <font>
      <i/>
      <sz val="14"/>
      <color theme="1"/>
      <name val="Calibri"/>
      <family val="2"/>
      <scheme val="minor"/>
    </font>
    <font>
      <sz val="12"/>
      <color theme="1" tint="0.499984740745262"/>
      <name val="Calibri"/>
      <family val="2"/>
    </font>
    <font>
      <b/>
      <sz val="12"/>
      <color theme="1"/>
      <name val="Calibri"/>
      <family val="2"/>
      <scheme val="minor"/>
    </font>
    <font>
      <i/>
      <sz val="11"/>
      <color theme="1" tint="0.499984740745262"/>
      <name val="Calibri"/>
      <family val="2"/>
    </font>
    <font>
      <b/>
      <sz val="14"/>
      <color theme="1"/>
      <name val="Calibri"/>
      <family val="2"/>
      <scheme val="minor"/>
    </font>
    <font>
      <sz val="10"/>
      <color theme="1"/>
      <name val="Calibri"/>
      <family val="2"/>
      <scheme val="minor"/>
    </font>
    <font>
      <i/>
      <sz val="12"/>
      <color theme="1"/>
      <name val="Calibri"/>
      <family val="2"/>
      <scheme val="minor"/>
    </font>
    <font>
      <i/>
      <u/>
      <sz val="12"/>
      <color theme="1"/>
      <name val="Calibri"/>
      <family val="2"/>
    </font>
    <font>
      <b/>
      <sz val="12"/>
      <name val="Calibri"/>
      <family val="2"/>
    </font>
    <font>
      <sz val="12"/>
      <color rgb="FFFF0000"/>
      <name val="Calibri"/>
      <family val="2"/>
    </font>
    <font>
      <sz val="12"/>
      <name val="Calibri"/>
      <family val="2"/>
      <scheme val="minor"/>
    </font>
    <font>
      <sz val="12"/>
      <color rgb="FFFF0000"/>
      <name val="Calibri"/>
      <family val="2"/>
      <scheme val="minor"/>
    </font>
    <font>
      <sz val="11"/>
      <color rgb="FFFF0000"/>
      <name val="Calibri"/>
      <family val="2"/>
      <scheme val="minor"/>
    </font>
    <font>
      <u/>
      <sz val="12"/>
      <color theme="10"/>
      <name val="Calibri"/>
      <family val="2"/>
      <scheme val="minor"/>
    </font>
    <font>
      <sz val="11"/>
      <name val="Calibri"/>
      <family val="2"/>
      <scheme val="minor"/>
    </font>
    <font>
      <sz val="12"/>
      <color rgb="FF000000"/>
      <name val="Calibri"/>
      <family val="2"/>
      <scheme val="minor"/>
    </font>
    <font>
      <b/>
      <u/>
      <sz val="12"/>
      <color theme="1"/>
      <name val="Calibri"/>
      <family val="2"/>
      <scheme val="minor"/>
    </font>
    <font>
      <b/>
      <sz val="14"/>
      <color theme="1"/>
      <name val="Calibri"/>
      <family val="2"/>
    </font>
    <font>
      <sz val="12"/>
      <color theme="1"/>
      <name val="Calibri"/>
      <family val="2"/>
      <scheme val="minor"/>
    </font>
    <font>
      <i/>
      <sz val="12"/>
      <color theme="1" tint="0.499984740745262"/>
      <name val="Calibri"/>
      <family val="2"/>
      <scheme val="minor"/>
    </font>
    <font>
      <b/>
      <sz val="11"/>
      <color theme="1"/>
      <name val="Calibri"/>
      <family val="2"/>
      <scheme val="minor"/>
    </font>
    <font>
      <b/>
      <sz val="11"/>
      <color theme="1"/>
      <name val="Calibri"/>
      <family val="2"/>
    </font>
    <font>
      <sz val="11"/>
      <color theme="1"/>
      <name val="Calibri"/>
      <family val="2"/>
    </font>
    <font>
      <sz val="11"/>
      <name val="Calibri"/>
      <family val="2"/>
    </font>
    <font>
      <i/>
      <sz val="11"/>
      <color theme="1" tint="0.499984740745262"/>
      <name val="Calibri"/>
      <family val="2"/>
      <scheme val="minor"/>
    </font>
    <font>
      <i/>
      <sz val="11"/>
      <color rgb="FFFF0000"/>
      <name val="Calibri"/>
      <family val="2"/>
      <scheme val="minor"/>
    </font>
    <font>
      <i/>
      <sz val="11"/>
      <name val="Calibri"/>
      <family val="2"/>
      <scheme val="minor"/>
    </font>
    <font>
      <i/>
      <sz val="12"/>
      <color rgb="FFFF0000"/>
      <name val="Calibri"/>
      <family val="2"/>
    </font>
    <font>
      <i/>
      <sz val="10"/>
      <color rgb="FFFF0000"/>
      <name val="Calibri"/>
      <family val="2"/>
      <scheme val="minor"/>
    </font>
    <font>
      <sz val="12"/>
      <color rgb="FFFF0000"/>
      <name val="Times New Roman"/>
      <family val="1"/>
    </font>
    <font>
      <sz val="11"/>
      <color theme="0"/>
      <name val="Calibri"/>
      <family val="2"/>
      <scheme val="minor"/>
    </font>
    <font>
      <b/>
      <sz val="12"/>
      <name val="Calibri"/>
      <family val="2"/>
      <scheme val="minor"/>
    </font>
    <font>
      <sz val="14"/>
      <name val="Calibri"/>
      <family val="2"/>
      <scheme val="minor"/>
    </font>
    <font>
      <i/>
      <sz val="10"/>
      <color rgb="FFFF0000"/>
      <name val="Calibri"/>
      <family val="2"/>
    </font>
    <font>
      <i/>
      <sz val="12"/>
      <name val="Calibri"/>
      <family val="2"/>
      <scheme val="minor"/>
    </font>
    <font>
      <sz val="8"/>
      <color rgb="FF000000"/>
      <name val="Arial"/>
      <family val="2"/>
    </font>
    <font>
      <sz val="8"/>
      <color rgb="FF333333"/>
      <name val="Arial"/>
      <family val="2"/>
    </font>
    <font>
      <b/>
      <i/>
      <sz val="12"/>
      <color theme="1"/>
      <name val="Calibri"/>
      <family val="2"/>
      <scheme val="minor"/>
    </font>
    <font>
      <b/>
      <i/>
      <u/>
      <sz val="12"/>
      <color theme="1"/>
      <name val="Calibri"/>
      <family val="2"/>
      <scheme val="minor"/>
    </font>
    <font>
      <i/>
      <u/>
      <sz val="12"/>
      <color rgb="FFFF0000"/>
      <name val="Calibri"/>
      <family val="2"/>
      <scheme val="minor"/>
    </font>
    <font>
      <b/>
      <sz val="18"/>
      <color theme="0"/>
      <name val="Calibri"/>
      <family val="2"/>
    </font>
    <font>
      <sz val="14"/>
      <color rgb="FF6B7600"/>
      <name val="Verdana"/>
      <family val="2"/>
    </font>
    <font>
      <vertAlign val="superscript"/>
      <sz val="11"/>
      <name val="Calibri"/>
      <family val="2"/>
    </font>
    <font>
      <sz val="10"/>
      <color theme="1"/>
      <name val="Calibri"/>
      <family val="2"/>
    </font>
    <font>
      <sz val="12"/>
      <color rgb="FF000000"/>
      <name val="Calibri"/>
      <family val="2"/>
    </font>
    <font>
      <sz val="12"/>
      <color theme="0"/>
      <name val="Calibri"/>
      <family val="2"/>
      <scheme val="minor"/>
    </font>
    <font>
      <sz val="12"/>
      <color theme="0" tint="-0.499984740745262"/>
      <name val="Calibri"/>
      <family val="2"/>
      <scheme val="minor"/>
    </font>
    <font>
      <b/>
      <sz val="12"/>
      <color theme="0" tint="-0.499984740745262"/>
      <name val="Calibri"/>
      <family val="2"/>
      <scheme val="minor"/>
    </font>
    <font>
      <sz val="12"/>
      <color theme="0" tint="-0.249977111117893"/>
      <name val="Calibri"/>
      <family val="2"/>
      <scheme val="minor"/>
    </font>
  </fonts>
  <fills count="17">
    <fill>
      <patternFill patternType="none"/>
    </fill>
    <fill>
      <patternFill patternType="gray125"/>
    </fill>
    <fill>
      <patternFill patternType="solid">
        <fgColor indexed="65"/>
        <bgColor indexed="64"/>
      </patternFill>
    </fill>
    <fill>
      <patternFill patternType="solid">
        <fgColor rgb="FFE5E5E5"/>
        <bgColor indexed="64"/>
      </patternFill>
    </fill>
    <fill>
      <patternFill patternType="solid">
        <fgColor rgb="FFFFFFFF"/>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rgb="FF73FDD6"/>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1" tint="0.249977111117893"/>
        <bgColor indexed="64"/>
      </patternFill>
    </fill>
    <fill>
      <patternFill patternType="solid">
        <fgColor theme="4" tint="-0.49998474074526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s>
  <borders count="61">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auto="1"/>
      </right>
      <top style="thin">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style="medium">
        <color indexed="64"/>
      </bottom>
      <diagonal/>
    </border>
    <border>
      <left/>
      <right style="medium">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thin">
        <color auto="1"/>
      </left>
      <right/>
      <top style="medium">
        <color auto="1"/>
      </top>
      <bottom/>
      <diagonal/>
    </border>
    <border>
      <left/>
      <right style="medium">
        <color indexed="64"/>
      </right>
      <top style="medium">
        <color indexed="64"/>
      </top>
      <bottom style="thin">
        <color auto="1"/>
      </bottom>
      <diagonal/>
    </border>
    <border>
      <left/>
      <right style="medium">
        <color indexed="64"/>
      </right>
      <top style="thin">
        <color auto="1"/>
      </top>
      <bottom/>
      <diagonal/>
    </border>
    <border>
      <left style="thin">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thin">
        <color auto="1"/>
      </left>
      <right style="thin">
        <color auto="1"/>
      </right>
      <top style="medium">
        <color indexed="64"/>
      </top>
      <bottom style="medium">
        <color indexed="64"/>
      </bottom>
      <diagonal/>
    </border>
    <border>
      <left style="thin">
        <color auto="1"/>
      </left>
      <right/>
      <top/>
      <bottom style="medium">
        <color indexed="64"/>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top style="thin">
        <color auto="1"/>
      </top>
      <bottom style="medium">
        <color indexed="64"/>
      </bottom>
      <diagonal/>
    </border>
    <border>
      <left/>
      <right style="medium">
        <color auto="1"/>
      </right>
      <top/>
      <bottom style="thin">
        <color auto="1"/>
      </bottom>
      <diagonal/>
    </border>
  </borders>
  <cellStyleXfs count="3">
    <xf numFmtId="0" fontId="0" fillId="0" borderId="0"/>
    <xf numFmtId="0" fontId="24" fillId="0" borderId="0" applyNumberFormat="0" applyFill="0" applyBorder="0" applyAlignment="0" applyProtection="0"/>
    <xf numFmtId="43" fontId="29" fillId="0" borderId="0" applyFont="0" applyFill="0" applyBorder="0" applyAlignment="0" applyProtection="0"/>
  </cellStyleXfs>
  <cellXfs count="579">
    <xf numFmtId="0" fontId="0" fillId="0" borderId="0" xfId="0"/>
    <xf numFmtId="0" fontId="0" fillId="7" borderId="0" xfId="0" applyFill="1"/>
    <xf numFmtId="0" fontId="9" fillId="7" borderId="0" xfId="0" applyFont="1" applyFill="1"/>
    <xf numFmtId="0" fontId="10" fillId="7" borderId="0" xfId="0" applyFont="1" applyFill="1"/>
    <xf numFmtId="0" fontId="11" fillId="7" borderId="0" xfId="0" applyFont="1" applyFill="1"/>
    <xf numFmtId="0" fontId="12" fillId="0" borderId="0" xfId="0" applyFont="1" applyAlignment="1">
      <alignment vertical="center" wrapText="1"/>
    </xf>
    <xf numFmtId="0" fontId="0" fillId="7" borderId="0" xfId="0" applyFill="1" applyAlignment="1">
      <alignment horizontal="right"/>
    </xf>
    <xf numFmtId="0" fontId="6" fillId="7" borderId="0" xfId="0" applyFont="1" applyFill="1" applyAlignment="1">
      <alignment vertical="center" wrapText="1"/>
    </xf>
    <xf numFmtId="0" fontId="7" fillId="7" borderId="0" xfId="0" applyFont="1" applyFill="1" applyAlignment="1">
      <alignment vertical="center" wrapText="1"/>
    </xf>
    <xf numFmtId="0" fontId="5" fillId="7" borderId="15" xfId="0" applyFont="1" applyFill="1" applyBorder="1" applyAlignment="1">
      <alignment vertical="center" wrapText="1"/>
    </xf>
    <xf numFmtId="0" fontId="5" fillId="7" borderId="29" xfId="0" applyFont="1" applyFill="1" applyBorder="1" applyAlignment="1">
      <alignment vertical="center" wrapText="1"/>
    </xf>
    <xf numFmtId="0" fontId="5" fillId="7" borderId="18" xfId="0" applyFont="1" applyFill="1" applyBorder="1" applyAlignment="1">
      <alignment vertical="center" wrapText="1"/>
    </xf>
    <xf numFmtId="0" fontId="16" fillId="7" borderId="13" xfId="0" applyFont="1" applyFill="1" applyBorder="1" applyAlignment="1">
      <alignment horizontal="right"/>
    </xf>
    <xf numFmtId="0" fontId="16" fillId="7" borderId="43" xfId="0" applyFont="1" applyFill="1" applyBorder="1" applyAlignment="1">
      <alignment horizontal="right"/>
    </xf>
    <xf numFmtId="0" fontId="16" fillId="7" borderId="16" xfId="0" applyFont="1" applyFill="1" applyBorder="1" applyAlignment="1">
      <alignment horizontal="right"/>
    </xf>
    <xf numFmtId="0" fontId="16" fillId="7" borderId="19" xfId="0" applyFont="1" applyFill="1" applyBorder="1" applyAlignment="1">
      <alignment horizontal="right"/>
    </xf>
    <xf numFmtId="0" fontId="13" fillId="7" borderId="0" xfId="0" applyFont="1" applyFill="1"/>
    <xf numFmtId="0" fontId="17" fillId="7" borderId="0" xfId="0" applyFont="1" applyFill="1"/>
    <xf numFmtId="0" fontId="6" fillId="7" borderId="18" xfId="0" applyFont="1" applyFill="1" applyBorder="1" applyAlignment="1">
      <alignment vertical="top" wrapText="1"/>
    </xf>
    <xf numFmtId="0" fontId="6" fillId="7" borderId="15" xfId="0" applyFont="1" applyFill="1" applyBorder="1" applyAlignment="1">
      <alignment vertical="top" wrapText="1"/>
    </xf>
    <xf numFmtId="0" fontId="6" fillId="7" borderId="29" xfId="0" applyFont="1" applyFill="1" applyBorder="1" applyAlignment="1">
      <alignment vertical="top" wrapText="1"/>
    </xf>
    <xf numFmtId="0" fontId="6" fillId="7" borderId="43" xfId="0" applyFont="1" applyFill="1" applyBorder="1" applyAlignment="1">
      <alignment horizontal="right" vertical="top" wrapText="1"/>
    </xf>
    <xf numFmtId="0" fontId="19" fillId="7" borderId="19" xfId="0" applyFont="1" applyFill="1" applyBorder="1" applyAlignment="1">
      <alignment vertical="top" wrapText="1"/>
    </xf>
    <xf numFmtId="0" fontId="16" fillId="7" borderId="43" xfId="0" applyFont="1" applyFill="1" applyBorder="1" applyAlignment="1">
      <alignment horizontal="right" vertical="top"/>
    </xf>
    <xf numFmtId="0" fontId="6" fillId="7" borderId="15" xfId="0" applyFont="1" applyFill="1" applyBorder="1" applyAlignment="1">
      <alignment vertical="center" wrapText="1"/>
    </xf>
    <xf numFmtId="0" fontId="6" fillId="7" borderId="29" xfId="0" applyFont="1" applyFill="1" applyBorder="1" applyAlignment="1">
      <alignment vertical="center" wrapText="1"/>
    </xf>
    <xf numFmtId="0" fontId="5" fillId="7" borderId="29" xfId="0" applyFont="1" applyFill="1" applyBorder="1" applyAlignment="1">
      <alignment vertical="top" wrapText="1"/>
    </xf>
    <xf numFmtId="0" fontId="16" fillId="7" borderId="0" xfId="0" applyFont="1" applyFill="1" applyAlignment="1">
      <alignment horizontal="right"/>
    </xf>
    <xf numFmtId="0" fontId="16" fillId="7" borderId="14" xfId="0" applyFont="1" applyFill="1" applyBorder="1" applyAlignment="1">
      <alignment horizontal="right"/>
    </xf>
    <xf numFmtId="0" fontId="0" fillId="7" borderId="29" xfId="0" applyFill="1" applyBorder="1"/>
    <xf numFmtId="0" fontId="0" fillId="7" borderId="17" xfId="0" applyFill="1" applyBorder="1"/>
    <xf numFmtId="0" fontId="0" fillId="7" borderId="18" xfId="0" applyFill="1" applyBorder="1"/>
    <xf numFmtId="0" fontId="13" fillId="7" borderId="21" xfId="0" applyFont="1" applyFill="1" applyBorder="1"/>
    <xf numFmtId="0" fontId="13" fillId="7" borderId="42" xfId="0" applyFont="1" applyFill="1" applyBorder="1"/>
    <xf numFmtId="0" fontId="13" fillId="7" borderId="22" xfId="0" applyFont="1" applyFill="1" applyBorder="1"/>
    <xf numFmtId="0" fontId="16" fillId="7" borderId="19" xfId="0" applyFont="1" applyFill="1" applyBorder="1" applyAlignment="1">
      <alignment horizontal="right" vertical="top"/>
    </xf>
    <xf numFmtId="0" fontId="22" fillId="7" borderId="0" xfId="0" applyFont="1" applyFill="1"/>
    <xf numFmtId="0" fontId="16" fillId="7" borderId="13" xfId="0" applyFont="1" applyFill="1" applyBorder="1" applyAlignment="1">
      <alignment horizontal="right" vertical="top"/>
    </xf>
    <xf numFmtId="0" fontId="5" fillId="7" borderId="15" xfId="0" applyFont="1" applyFill="1" applyBorder="1" applyAlignment="1">
      <alignment vertical="top" wrapText="1"/>
    </xf>
    <xf numFmtId="0" fontId="21" fillId="7" borderId="0" xfId="0" applyFont="1" applyFill="1"/>
    <xf numFmtId="0" fontId="5" fillId="7" borderId="0" xfId="0" applyFont="1" applyFill="1" applyAlignment="1">
      <alignment vertical="center" wrapText="1"/>
    </xf>
    <xf numFmtId="0" fontId="5" fillId="7" borderId="14" xfId="0" applyFont="1" applyFill="1" applyBorder="1" applyAlignment="1">
      <alignment vertical="center" wrapText="1"/>
    </xf>
    <xf numFmtId="0" fontId="6" fillId="7" borderId="14" xfId="0" applyFont="1" applyFill="1" applyBorder="1" applyAlignment="1">
      <alignment vertical="top" wrapText="1"/>
    </xf>
    <xf numFmtId="0" fontId="6" fillId="7" borderId="0" xfId="0" applyFont="1" applyFill="1" applyAlignment="1">
      <alignment vertical="top" wrapText="1"/>
    </xf>
    <xf numFmtId="0" fontId="18" fillId="7" borderId="0" xfId="0" applyFont="1" applyFill="1" applyAlignment="1">
      <alignment vertical="top" wrapText="1"/>
    </xf>
    <xf numFmtId="0" fontId="5" fillId="7" borderId="14" xfId="0" applyFont="1" applyFill="1" applyBorder="1" applyAlignment="1">
      <alignment vertical="top" wrapText="1"/>
    </xf>
    <xf numFmtId="0" fontId="0" fillId="7" borderId="43" xfId="0" applyFill="1" applyBorder="1"/>
    <xf numFmtId="0" fontId="0" fillId="7" borderId="16" xfId="0" applyFill="1" applyBorder="1"/>
    <xf numFmtId="0" fontId="16" fillId="7" borderId="16" xfId="0" applyFont="1" applyFill="1" applyBorder="1" applyAlignment="1">
      <alignment horizontal="right" vertical="top"/>
    </xf>
    <xf numFmtId="0" fontId="5" fillId="7" borderId="20" xfId="0" applyFont="1" applyFill="1" applyBorder="1" applyAlignment="1">
      <alignment vertical="center" wrapText="1"/>
    </xf>
    <xf numFmtId="0" fontId="6" fillId="7" borderId="20" xfId="0" applyFont="1" applyFill="1" applyBorder="1" applyAlignment="1">
      <alignment vertical="top" wrapText="1"/>
    </xf>
    <xf numFmtId="0" fontId="19" fillId="7" borderId="19" xfId="0" applyFont="1" applyFill="1" applyBorder="1" applyAlignment="1">
      <alignment vertical="center" wrapText="1"/>
    </xf>
    <xf numFmtId="0" fontId="20" fillId="7" borderId="18" xfId="0" applyFont="1" applyFill="1" applyBorder="1" applyAlignment="1">
      <alignment vertical="center" wrapText="1"/>
    </xf>
    <xf numFmtId="0" fontId="16" fillId="7" borderId="14" xfId="0" applyFont="1" applyFill="1" applyBorder="1" applyAlignment="1">
      <alignment horizontal="right" vertical="top"/>
    </xf>
    <xf numFmtId="0" fontId="5" fillId="7" borderId="18" xfId="0" applyFont="1" applyFill="1" applyBorder="1" applyAlignment="1">
      <alignment vertical="top" wrapText="1"/>
    </xf>
    <xf numFmtId="0" fontId="15" fillId="8" borderId="12" xfId="0" applyFont="1" applyFill="1" applyBorder="1"/>
    <xf numFmtId="0" fontId="7" fillId="7" borderId="17" xfId="0" applyFont="1" applyFill="1" applyBorder="1" applyAlignment="1">
      <alignment vertical="center" wrapText="1"/>
    </xf>
    <xf numFmtId="0" fontId="0" fillId="7" borderId="15" xfId="0" applyFill="1" applyBorder="1" applyAlignment="1">
      <alignment horizontal="left" vertical="center"/>
    </xf>
    <xf numFmtId="0" fontId="0" fillId="7" borderId="29" xfId="0" applyFill="1" applyBorder="1" applyAlignment="1">
      <alignment horizontal="left" vertical="center"/>
    </xf>
    <xf numFmtId="0" fontId="0" fillId="7" borderId="18" xfId="0" applyFill="1" applyBorder="1" applyAlignment="1">
      <alignment horizontal="left" vertical="center"/>
    </xf>
    <xf numFmtId="0" fontId="13" fillId="7" borderId="21" xfId="0" applyFont="1" applyFill="1" applyBorder="1" applyAlignment="1">
      <alignment vertical="top"/>
    </xf>
    <xf numFmtId="0" fontId="9" fillId="7" borderId="13" xfId="0" applyFont="1" applyFill="1" applyBorder="1"/>
    <xf numFmtId="0" fontId="0" fillId="7" borderId="15" xfId="0" applyFill="1" applyBorder="1" applyAlignment="1">
      <alignment vertical="center" wrapText="1"/>
    </xf>
    <xf numFmtId="0" fontId="9" fillId="7" borderId="43" xfId="0" applyFont="1" applyFill="1" applyBorder="1"/>
    <xf numFmtId="0" fontId="24" fillId="7" borderId="29" xfId="1" applyFill="1" applyBorder="1" applyAlignment="1">
      <alignment vertical="center"/>
    </xf>
    <xf numFmtId="0" fontId="0" fillId="7" borderId="29" xfId="0" applyFill="1" applyBorder="1" applyAlignment="1">
      <alignment vertical="center" wrapText="1"/>
    </xf>
    <xf numFmtId="0" fontId="0" fillId="7" borderId="29" xfId="0" applyFill="1" applyBorder="1" applyAlignment="1">
      <alignment horizontal="left" vertical="center" wrapText="1"/>
    </xf>
    <xf numFmtId="0" fontId="26" fillId="7" borderId="43" xfId="0" applyFont="1" applyFill="1" applyBorder="1" applyAlignment="1">
      <alignment vertical="center" wrapText="1"/>
    </xf>
    <xf numFmtId="0" fontId="26" fillId="7" borderId="42" xfId="0" applyFont="1" applyFill="1" applyBorder="1" applyAlignment="1">
      <alignment horizontal="left" vertical="center" wrapText="1"/>
    </xf>
    <xf numFmtId="0" fontId="27" fillId="7" borderId="42" xfId="0" applyFont="1" applyFill="1" applyBorder="1" applyAlignment="1">
      <alignment horizontal="left"/>
    </xf>
    <xf numFmtId="0" fontId="17" fillId="0" borderId="16" xfId="0" applyFont="1" applyBorder="1"/>
    <xf numFmtId="0" fontId="22" fillId="7" borderId="29" xfId="0" applyFont="1" applyFill="1" applyBorder="1" applyAlignment="1">
      <alignment vertical="center" wrapText="1"/>
    </xf>
    <xf numFmtId="0" fontId="4" fillId="0" borderId="0" xfId="0" applyFont="1"/>
    <xf numFmtId="0" fontId="33" fillId="3" borderId="10" xfId="0" applyFont="1" applyFill="1" applyBorder="1" applyAlignment="1">
      <alignment vertical="center" wrapText="1"/>
    </xf>
    <xf numFmtId="0" fontId="33" fillId="7" borderId="0" xfId="0" applyFont="1" applyFill="1" applyAlignment="1" applyProtection="1">
      <alignment vertical="top" wrapText="1"/>
      <protection locked="0"/>
    </xf>
    <xf numFmtId="0" fontId="34" fillId="7" borderId="0" xfId="0" applyFont="1" applyFill="1" applyAlignment="1" applyProtection="1">
      <alignment vertical="top" wrapText="1"/>
      <protection locked="0"/>
    </xf>
    <xf numFmtId="0" fontId="32" fillId="7" borderId="0" xfId="0" applyFont="1" applyFill="1" applyAlignment="1">
      <alignment vertical="center" wrapText="1"/>
    </xf>
    <xf numFmtId="0" fontId="33" fillId="7" borderId="0" xfId="0" applyFont="1" applyFill="1" applyAlignment="1" applyProtection="1">
      <alignment vertical="center" wrapText="1"/>
      <protection locked="0"/>
    </xf>
    <xf numFmtId="0" fontId="31" fillId="7" borderId="0" xfId="0" applyFont="1" applyFill="1" applyAlignment="1">
      <alignment vertical="center" wrapText="1"/>
    </xf>
    <xf numFmtId="43" fontId="14" fillId="7" borderId="0" xfId="2" applyFont="1" applyFill="1" applyBorder="1" applyAlignment="1">
      <alignment vertical="center" wrapText="1"/>
    </xf>
    <xf numFmtId="0" fontId="14" fillId="7" borderId="0" xfId="0" applyFont="1" applyFill="1" applyAlignment="1">
      <alignment vertical="center" wrapText="1"/>
    </xf>
    <xf numFmtId="0" fontId="34" fillId="7" borderId="0" xfId="0" applyFont="1" applyFill="1" applyAlignment="1" applyProtection="1">
      <alignment vertical="center" wrapText="1"/>
      <protection locked="0"/>
    </xf>
    <xf numFmtId="0" fontId="22" fillId="0" borderId="0" xfId="0" applyFont="1"/>
    <xf numFmtId="0" fontId="35" fillId="0" borderId="12" xfId="0" applyFont="1" applyBorder="1" applyAlignment="1">
      <alignment horizontal="center" vertical="top" wrapText="1"/>
    </xf>
    <xf numFmtId="0" fontId="0" fillId="7" borderId="20" xfId="0" applyFill="1" applyBorder="1" applyAlignment="1">
      <alignment vertical="top"/>
    </xf>
    <xf numFmtId="0" fontId="5" fillId="7" borderId="23" xfId="0" applyFont="1" applyFill="1" applyBorder="1" applyAlignment="1">
      <alignment vertical="top" wrapText="1"/>
    </xf>
    <xf numFmtId="0" fontId="21" fillId="7" borderId="0" xfId="0" applyFont="1" applyFill="1" applyAlignment="1">
      <alignment vertical="top" wrapText="1"/>
    </xf>
    <xf numFmtId="0" fontId="0" fillId="7" borderId="19" xfId="0" applyFill="1" applyBorder="1" applyAlignment="1">
      <alignment vertical="top"/>
    </xf>
    <xf numFmtId="0" fontId="5" fillId="7" borderId="20" xfId="0" applyFont="1" applyFill="1" applyBorder="1" applyAlignment="1">
      <alignment vertical="top" wrapText="1"/>
    </xf>
    <xf numFmtId="0" fontId="0" fillId="7" borderId="18" xfId="0" applyFill="1" applyBorder="1" applyAlignment="1">
      <alignment vertical="top"/>
    </xf>
    <xf numFmtId="0" fontId="33" fillId="3" borderId="11" xfId="0" applyFont="1" applyFill="1" applyBorder="1" applyAlignment="1">
      <alignment vertical="center" wrapText="1"/>
    </xf>
    <xf numFmtId="0" fontId="38" fillId="7" borderId="29" xfId="0" applyFont="1" applyFill="1" applyBorder="1" applyAlignment="1">
      <alignment vertical="center" wrapText="1"/>
    </xf>
    <xf numFmtId="43" fontId="37" fillId="10" borderId="12" xfId="2" applyFont="1" applyFill="1" applyBorder="1"/>
    <xf numFmtId="43" fontId="25" fillId="7" borderId="12" xfId="2" applyFont="1" applyFill="1" applyBorder="1"/>
    <xf numFmtId="43" fontId="25" fillId="10" borderId="12" xfId="2" applyFont="1" applyFill="1" applyBorder="1"/>
    <xf numFmtId="0" fontId="0" fillId="7" borderId="20" xfId="0" applyFill="1" applyBorder="1" applyAlignment="1">
      <alignment vertical="top" wrapText="1"/>
    </xf>
    <xf numFmtId="0" fontId="7" fillId="7" borderId="12" xfId="0" applyFont="1" applyFill="1" applyBorder="1" applyAlignment="1">
      <alignment vertical="top" wrapText="1"/>
    </xf>
    <xf numFmtId="0" fontId="5" fillId="7" borderId="0" xfId="0" applyFont="1" applyFill="1" applyAlignment="1">
      <alignment vertical="top"/>
    </xf>
    <xf numFmtId="0" fontId="0" fillId="7" borderId="0" xfId="0" applyFill="1" applyAlignment="1">
      <alignment vertical="top"/>
    </xf>
    <xf numFmtId="0" fontId="0" fillId="7" borderId="29" xfId="0" applyFill="1" applyBorder="1" applyAlignment="1">
      <alignment vertical="top" wrapText="1"/>
    </xf>
    <xf numFmtId="0" fontId="36" fillId="7" borderId="0" xfId="0" applyFont="1" applyFill="1"/>
    <xf numFmtId="0" fontId="8" fillId="7" borderId="0" xfId="0" applyFont="1" applyFill="1"/>
    <xf numFmtId="0" fontId="23" fillId="7" borderId="0" xfId="0" applyFont="1" applyFill="1"/>
    <xf numFmtId="43" fontId="25" fillId="0" borderId="12" xfId="2" applyFont="1" applyBorder="1"/>
    <xf numFmtId="0" fontId="37" fillId="0" borderId="12" xfId="0" applyFont="1" applyBorder="1" applyAlignment="1">
      <alignment horizontal="center"/>
    </xf>
    <xf numFmtId="0" fontId="37" fillId="0" borderId="20" xfId="0" applyFont="1" applyBorder="1" applyAlignment="1">
      <alignment horizontal="center"/>
    </xf>
    <xf numFmtId="0" fontId="40" fillId="7" borderId="0" xfId="0" applyFont="1" applyFill="1" applyAlignment="1">
      <alignment vertical="center"/>
    </xf>
    <xf numFmtId="0" fontId="41" fillId="0" borderId="0" xfId="0" applyFont="1"/>
    <xf numFmtId="0" fontId="41" fillId="0" borderId="0" xfId="0" applyFont="1" applyAlignment="1">
      <alignment horizontal="left" vertical="top" wrapText="1"/>
    </xf>
    <xf numFmtId="0" fontId="0" fillId="0" borderId="0" xfId="0" applyAlignment="1">
      <alignment horizontal="left" vertical="top" wrapText="1"/>
    </xf>
    <xf numFmtId="0" fontId="42" fillId="7" borderId="42" xfId="0" applyFont="1" applyFill="1" applyBorder="1"/>
    <xf numFmtId="0" fontId="43" fillId="7" borderId="0" xfId="0" applyFont="1" applyFill="1"/>
    <xf numFmtId="0" fontId="21" fillId="7" borderId="29" xfId="0" applyFont="1" applyFill="1" applyBorder="1"/>
    <xf numFmtId="0" fontId="5" fillId="7" borderId="0" xfId="0" applyFont="1" applyFill="1" applyAlignment="1">
      <alignment vertical="top" wrapText="1"/>
    </xf>
    <xf numFmtId="0" fontId="34" fillId="2" borderId="1" xfId="0" applyFont="1" applyFill="1" applyBorder="1" applyAlignment="1">
      <alignment vertical="center" wrapText="1"/>
    </xf>
    <xf numFmtId="0" fontId="5" fillId="7" borderId="17" xfId="0" applyFont="1" applyFill="1" applyBorder="1" applyAlignment="1">
      <alignment vertical="top" wrapText="1"/>
    </xf>
    <xf numFmtId="0" fontId="0" fillId="7" borderId="13" xfId="0" applyFill="1" applyBorder="1"/>
    <xf numFmtId="0" fontId="0" fillId="7" borderId="15" xfId="0" applyFill="1" applyBorder="1"/>
    <xf numFmtId="0" fontId="19" fillId="7" borderId="13" xfId="0" applyFont="1" applyFill="1" applyBorder="1" applyAlignment="1">
      <alignment vertical="center" wrapText="1"/>
    </xf>
    <xf numFmtId="0" fontId="38" fillId="7" borderId="29" xfId="0" applyFont="1" applyFill="1" applyBorder="1" applyAlignment="1">
      <alignment vertical="top" wrapText="1"/>
    </xf>
    <xf numFmtId="0" fontId="38" fillId="7" borderId="18" xfId="0" applyFont="1" applyFill="1" applyBorder="1" applyAlignment="1">
      <alignment vertical="center" wrapText="1"/>
    </xf>
    <xf numFmtId="0" fontId="16" fillId="7" borderId="0" xfId="0" applyFont="1" applyFill="1" applyAlignment="1">
      <alignment horizontal="right" vertical="top"/>
    </xf>
    <xf numFmtId="0" fontId="0" fillId="4" borderId="0" xfId="0" applyFill="1"/>
    <xf numFmtId="0" fontId="46" fillId="7" borderId="0" xfId="0" applyFont="1" applyFill="1" applyAlignment="1">
      <alignment horizontal="right"/>
    </xf>
    <xf numFmtId="0" fontId="26" fillId="7" borderId="43" xfId="0" applyFont="1" applyFill="1" applyBorder="1" applyAlignment="1">
      <alignment horizontal="right" vertical="center" wrapText="1"/>
    </xf>
    <xf numFmtId="0" fontId="49" fillId="7" borderId="0" xfId="0" applyFont="1" applyFill="1"/>
    <xf numFmtId="0" fontId="6" fillId="7" borderId="0" xfId="0" applyFont="1" applyFill="1" applyAlignment="1">
      <alignment horizontal="right"/>
    </xf>
    <xf numFmtId="0" fontId="8" fillId="0" borderId="0" xfId="0" applyFont="1"/>
    <xf numFmtId="0" fontId="45" fillId="0" borderId="0" xfId="0" applyFont="1"/>
    <xf numFmtId="0" fontId="13" fillId="0" borderId="0" xfId="0" applyFont="1"/>
    <xf numFmtId="0" fontId="0" fillId="0" borderId="0" xfId="0" applyAlignment="1">
      <alignment horizontal="left"/>
    </xf>
    <xf numFmtId="14" fontId="0" fillId="0" borderId="0" xfId="0" applyNumberFormat="1" applyAlignment="1">
      <alignment horizontal="left"/>
    </xf>
    <xf numFmtId="164" fontId="3" fillId="0" borderId="53" xfId="2" applyNumberFormat="1" applyFont="1" applyBorder="1" applyAlignment="1">
      <alignment horizontal="center" vertical="center"/>
    </xf>
    <xf numFmtId="164" fontId="33" fillId="0" borderId="21" xfId="2" applyNumberFormat="1" applyFont="1" applyBorder="1" applyAlignment="1">
      <alignment horizontal="center" vertical="center"/>
    </xf>
    <xf numFmtId="164" fontId="3" fillId="0" borderId="21" xfId="2" applyNumberFormat="1" applyFont="1" applyBorder="1" applyAlignment="1">
      <alignment horizontal="center" vertical="center"/>
    </xf>
    <xf numFmtId="164" fontId="3" fillId="0" borderId="27" xfId="2" applyNumberFormat="1" applyFont="1" applyBorder="1" applyAlignment="1">
      <alignment horizontal="center" vertical="center"/>
    </xf>
    <xf numFmtId="164" fontId="33" fillId="0" borderId="27" xfId="2" applyNumberFormat="1" applyFont="1" applyBorder="1" applyAlignment="1">
      <alignment horizontal="center" vertical="center"/>
    </xf>
    <xf numFmtId="164" fontId="3" fillId="0" borderId="28" xfId="2" applyNumberFormat="1" applyFont="1" applyBorder="1" applyAlignment="1">
      <alignment horizontal="center" vertical="center"/>
    </xf>
    <xf numFmtId="164" fontId="33" fillId="0" borderId="12" xfId="2" applyNumberFormat="1" applyFont="1" applyBorder="1" applyAlignment="1">
      <alignment horizontal="center" vertical="center"/>
    </xf>
    <xf numFmtId="0" fontId="0" fillId="7" borderId="14" xfId="0" applyFill="1" applyBorder="1"/>
    <xf numFmtId="14" fontId="0" fillId="7" borderId="43" xfId="0" applyNumberFormat="1" applyFill="1" applyBorder="1" applyAlignment="1">
      <alignment horizontal="left"/>
    </xf>
    <xf numFmtId="14" fontId="0" fillId="7" borderId="13" xfId="0" applyNumberFormat="1" applyFill="1" applyBorder="1" applyAlignment="1">
      <alignment horizontal="left"/>
    </xf>
    <xf numFmtId="0" fontId="13" fillId="7" borderId="19" xfId="0" applyFont="1" applyFill="1" applyBorder="1"/>
    <xf numFmtId="0" fontId="0" fillId="7" borderId="23" xfId="0" applyFill="1" applyBorder="1"/>
    <xf numFmtId="0" fontId="13" fillId="7" borderId="23" xfId="0" applyFont="1" applyFill="1" applyBorder="1"/>
    <xf numFmtId="0" fontId="0" fillId="7" borderId="20" xfId="0" applyFill="1" applyBorder="1"/>
    <xf numFmtId="0" fontId="3" fillId="6" borderId="9" xfId="0" applyFont="1" applyFill="1" applyBorder="1" applyAlignment="1">
      <alignment horizontal="right" vertical="center"/>
    </xf>
    <xf numFmtId="164" fontId="3" fillId="0" borderId="39" xfId="2" applyNumberFormat="1" applyFont="1" applyBorder="1" applyAlignment="1">
      <alignment horizontal="center" vertical="center"/>
    </xf>
    <xf numFmtId="164" fontId="3" fillId="0" borderId="38" xfId="2" applyNumberFormat="1" applyFont="1" applyBorder="1" applyAlignment="1">
      <alignment horizontal="center" vertical="center"/>
    </xf>
    <xf numFmtId="164" fontId="3" fillId="0" borderId="37" xfId="2" applyNumberFormat="1" applyFont="1" applyBorder="1" applyAlignment="1">
      <alignment horizontal="center" vertical="center"/>
    </xf>
    <xf numFmtId="164" fontId="3" fillId="0" borderId="12" xfId="2" applyNumberFormat="1" applyFont="1" applyBorder="1" applyAlignment="1">
      <alignment horizontal="center" vertical="center"/>
    </xf>
    <xf numFmtId="164" fontId="3" fillId="0" borderId="20" xfId="2" applyNumberFormat="1" applyFont="1" applyBorder="1" applyAlignment="1">
      <alignment horizontal="center" vertical="center"/>
    </xf>
    <xf numFmtId="164" fontId="3" fillId="0" borderId="26" xfId="2" applyNumberFormat="1" applyFont="1" applyBorder="1" applyAlignment="1">
      <alignment horizontal="center" vertical="center"/>
    </xf>
    <xf numFmtId="164" fontId="3" fillId="0" borderId="46" xfId="2" applyNumberFormat="1" applyFont="1" applyBorder="1" applyAlignment="1">
      <alignment horizontal="center" vertical="center"/>
    </xf>
    <xf numFmtId="0" fontId="3" fillId="7" borderId="0" xfId="0" applyFont="1" applyFill="1"/>
    <xf numFmtId="0" fontId="3" fillId="0" borderId="0" xfId="0" applyFont="1"/>
    <xf numFmtId="14" fontId="0" fillId="7" borderId="19" xfId="0" applyNumberFormat="1" applyFill="1" applyBorder="1" applyAlignment="1">
      <alignment horizontal="left"/>
    </xf>
    <xf numFmtId="0" fontId="47" fillId="7" borderId="0" xfId="0" applyFont="1" applyFill="1" applyAlignment="1">
      <alignment horizontal="left" vertical="center"/>
    </xf>
    <xf numFmtId="0" fontId="19" fillId="7" borderId="13" xfId="0" applyFont="1" applyFill="1" applyBorder="1" applyAlignment="1">
      <alignment horizontal="left" vertical="top" wrapText="1"/>
    </xf>
    <xf numFmtId="0" fontId="19" fillId="7" borderId="43" xfId="0" applyFont="1" applyFill="1" applyBorder="1" applyAlignment="1">
      <alignment horizontal="left" vertical="top" wrapText="1"/>
    </xf>
    <xf numFmtId="0" fontId="7" fillId="7" borderId="21" xfId="0" applyFont="1" applyFill="1" applyBorder="1" applyAlignment="1">
      <alignment horizontal="left" vertical="top" wrapText="1"/>
    </xf>
    <xf numFmtId="0" fontId="7" fillId="7" borderId="43" xfId="0" applyFont="1" applyFill="1" applyBorder="1" applyAlignment="1">
      <alignment horizontal="left" vertical="top" wrapText="1"/>
    </xf>
    <xf numFmtId="0" fontId="19" fillId="7" borderId="21" xfId="0" applyFont="1" applyFill="1" applyBorder="1" applyAlignment="1">
      <alignment horizontal="left" vertical="top" wrapText="1"/>
    </xf>
    <xf numFmtId="0" fontId="7" fillId="7" borderId="22" xfId="0" applyFont="1" applyFill="1" applyBorder="1" applyAlignment="1">
      <alignment horizontal="left" vertical="top" wrapText="1"/>
    </xf>
    <xf numFmtId="0" fontId="31" fillId="9" borderId="12" xfId="0" applyFont="1" applyFill="1" applyBorder="1" applyAlignment="1">
      <alignment horizontal="center"/>
    </xf>
    <xf numFmtId="0" fontId="31" fillId="6" borderId="12" xfId="0" applyFont="1" applyFill="1" applyBorder="1" applyAlignment="1">
      <alignment horizontal="center"/>
    </xf>
    <xf numFmtId="0" fontId="31" fillId="6" borderId="12" xfId="0" applyFont="1" applyFill="1" applyBorder="1" applyAlignment="1">
      <alignment horizontal="center" vertical="center" wrapText="1"/>
    </xf>
    <xf numFmtId="0" fontId="25" fillId="0" borderId="31" xfId="0" applyFont="1" applyBorder="1" applyAlignment="1">
      <alignment horizontal="center" vertical="top" wrapText="1"/>
    </xf>
    <xf numFmtId="0" fontId="25" fillId="0" borderId="47" xfId="0" applyFont="1" applyBorder="1" applyAlignment="1">
      <alignment horizontal="center" vertical="top" wrapText="1"/>
    </xf>
    <xf numFmtId="0" fontId="25" fillId="0" borderId="59" xfId="0" applyFont="1" applyBorder="1" applyAlignment="1">
      <alignment horizontal="center" vertical="top" wrapText="1"/>
    </xf>
    <xf numFmtId="166" fontId="37" fillId="10" borderId="12" xfId="2" applyNumberFormat="1" applyFont="1" applyFill="1" applyBorder="1"/>
    <xf numFmtId="0" fontId="52" fillId="0" borderId="0" xfId="0" applyFont="1" applyAlignment="1">
      <alignment horizontal="left" vertical="center" indent="2"/>
    </xf>
    <xf numFmtId="1" fontId="0" fillId="0" borderId="0" xfId="0" applyNumberFormat="1"/>
    <xf numFmtId="167" fontId="25" fillId="10" borderId="12" xfId="2" applyNumberFormat="1" applyFont="1" applyFill="1" applyBorder="1"/>
    <xf numFmtId="167" fontId="25" fillId="0" borderId="12" xfId="2" applyNumberFormat="1" applyFont="1" applyBorder="1"/>
    <xf numFmtId="0" fontId="34" fillId="3" borderId="7" xfId="0" applyFont="1" applyFill="1" applyBorder="1" applyAlignment="1">
      <alignment vertical="center" wrapText="1"/>
    </xf>
    <xf numFmtId="0" fontId="33" fillId="2" borderId="2" xfId="0" applyFont="1" applyFill="1" applyBorder="1" applyAlignment="1">
      <alignment vertical="top" wrapText="1"/>
    </xf>
    <xf numFmtId="0" fontId="33" fillId="2" borderId="3" xfId="0" applyFont="1" applyFill="1" applyBorder="1" applyAlignment="1">
      <alignment vertical="top" wrapText="1"/>
    </xf>
    <xf numFmtId="0" fontId="31" fillId="6" borderId="33" xfId="0" applyFont="1" applyFill="1" applyBorder="1" applyAlignment="1">
      <alignment horizontal="center" vertical="center" wrapText="1"/>
    </xf>
    <xf numFmtId="0" fontId="25" fillId="0" borderId="30" xfId="0" applyFont="1" applyBorder="1" applyAlignment="1">
      <alignment horizontal="center" vertical="top" wrapText="1"/>
    </xf>
    <xf numFmtId="0" fontId="15" fillId="13" borderId="0" xfId="0" applyFont="1" applyFill="1"/>
    <xf numFmtId="14" fontId="15" fillId="13" borderId="0" xfId="0" applyNumberFormat="1" applyFont="1" applyFill="1"/>
    <xf numFmtId="0" fontId="56" fillId="0" borderId="0" xfId="0" applyFont="1"/>
    <xf numFmtId="0" fontId="57" fillId="0" borderId="0" xfId="0" applyFont="1"/>
    <xf numFmtId="0" fontId="13" fillId="14" borderId="0" xfId="0" applyFont="1" applyFill="1" applyAlignment="1">
      <alignment horizontal="center"/>
    </xf>
    <xf numFmtId="0" fontId="13" fillId="14" borderId="0" xfId="0" applyFont="1" applyFill="1" applyAlignment="1">
      <alignment horizontal="center" wrapText="1"/>
    </xf>
    <xf numFmtId="0" fontId="13" fillId="15" borderId="0" xfId="0" applyFont="1" applyFill="1" applyAlignment="1">
      <alignment horizontal="center"/>
    </xf>
    <xf numFmtId="0" fontId="58" fillId="0" borderId="0" xfId="0" applyFont="1"/>
    <xf numFmtId="0" fontId="0" fillId="14" borderId="0" xfId="0" applyFill="1"/>
    <xf numFmtId="0" fontId="0" fillId="14" borderId="0" xfId="0" applyFill="1" applyAlignment="1">
      <alignment horizontal="left"/>
    </xf>
    <xf numFmtId="14" fontId="0" fillId="14" borderId="0" xfId="0" applyNumberFormat="1" applyFill="1"/>
    <xf numFmtId="0" fontId="0" fillId="15" borderId="0" xfId="0" applyFill="1"/>
    <xf numFmtId="0" fontId="24" fillId="14" borderId="0" xfId="1" applyFill="1" applyAlignment="1">
      <alignment horizontal="left"/>
    </xf>
    <xf numFmtId="0" fontId="22" fillId="15" borderId="0" xfId="0" applyFont="1" applyFill="1"/>
    <xf numFmtId="0" fontId="0" fillId="14" borderId="0" xfId="0" applyFill="1" applyAlignment="1">
      <alignment horizontal="center"/>
    </xf>
    <xf numFmtId="0" fontId="59" fillId="0" borderId="0" xfId="0" applyFont="1"/>
    <xf numFmtId="43" fontId="57" fillId="0" borderId="0" xfId="0" applyNumberFormat="1" applyFont="1"/>
    <xf numFmtId="0" fontId="57" fillId="0" borderId="0" xfId="0" applyFont="1" applyAlignment="1">
      <alignment horizontal="right"/>
    </xf>
    <xf numFmtId="0" fontId="32" fillId="14" borderId="0" xfId="0" applyFont="1" applyFill="1" applyAlignment="1" applyProtection="1">
      <alignment vertical="center" wrapText="1"/>
      <protection locked="0"/>
    </xf>
    <xf numFmtId="0" fontId="1" fillId="14" borderId="0" xfId="0" applyFont="1" applyFill="1"/>
    <xf numFmtId="0" fontId="32" fillId="7" borderId="0" xfId="0" applyFont="1" applyFill="1" applyAlignment="1" applyProtection="1">
      <alignment vertical="center"/>
      <protection locked="0"/>
    </xf>
    <xf numFmtId="0" fontId="1" fillId="7" borderId="0" xfId="0" applyFont="1" applyFill="1"/>
    <xf numFmtId="0" fontId="2" fillId="7" borderId="0" xfId="0" applyFont="1" applyFill="1" applyAlignment="1" applyProtection="1">
      <alignment vertical="top" wrapText="1"/>
      <protection locked="0"/>
    </xf>
    <xf numFmtId="0" fontId="31" fillId="9" borderId="12" xfId="0" applyFont="1" applyFill="1" applyBorder="1" applyAlignment="1">
      <alignment horizontal="center"/>
    </xf>
    <xf numFmtId="0" fontId="31" fillId="6" borderId="12" xfId="0" applyFont="1" applyFill="1" applyBorder="1" applyAlignment="1">
      <alignment horizontal="center"/>
    </xf>
    <xf numFmtId="0" fontId="31" fillId="6" borderId="12" xfId="0" applyFont="1" applyFill="1" applyBorder="1" applyAlignment="1">
      <alignment horizontal="center" vertical="center" wrapText="1"/>
    </xf>
    <xf numFmtId="0" fontId="34" fillId="3" borderId="4" xfId="0" applyFont="1" applyFill="1" applyBorder="1" applyAlignment="1">
      <alignment vertical="center" wrapText="1"/>
    </xf>
    <xf numFmtId="0" fontId="34" fillId="3" borderId="5" xfId="0" applyFont="1" applyFill="1" applyBorder="1" applyAlignment="1">
      <alignment vertical="center" wrapText="1"/>
    </xf>
    <xf numFmtId="0" fontId="34" fillId="3" borderId="7" xfId="0" applyFont="1" applyFill="1" applyBorder="1" applyAlignment="1">
      <alignment vertical="center" wrapText="1"/>
    </xf>
    <xf numFmtId="0" fontId="34" fillId="3" borderId="8" xfId="0" applyFont="1" applyFill="1" applyBorder="1" applyAlignment="1">
      <alignment vertical="center" wrapText="1"/>
    </xf>
    <xf numFmtId="0" fontId="0" fillId="16" borderId="0" xfId="0" applyFill="1"/>
    <xf numFmtId="43" fontId="25" fillId="16" borderId="12" xfId="2" applyFont="1" applyFill="1" applyBorder="1"/>
    <xf numFmtId="166" fontId="25" fillId="16" borderId="12" xfId="2" applyNumberFormat="1" applyFont="1" applyFill="1" applyBorder="1"/>
    <xf numFmtId="14" fontId="0" fillId="0" borderId="0" xfId="0" applyNumberFormat="1"/>
    <xf numFmtId="0" fontId="13" fillId="0" borderId="17" xfId="0" applyFont="1" applyBorder="1"/>
    <xf numFmtId="0" fontId="0" fillId="0" borderId="14" xfId="0" applyBorder="1"/>
    <xf numFmtId="0" fontId="0" fillId="0" borderId="0" xfId="0" applyFill="1" applyBorder="1"/>
    <xf numFmtId="0" fontId="19" fillId="7" borderId="13" xfId="0" applyFont="1" applyFill="1" applyBorder="1" applyAlignment="1">
      <alignment horizontal="left" vertical="top" wrapText="1"/>
    </xf>
    <xf numFmtId="0" fontId="19" fillId="7" borderId="43" xfId="0" applyFont="1" applyFill="1" applyBorder="1" applyAlignment="1">
      <alignment horizontal="left" vertical="top" wrapText="1"/>
    </xf>
    <xf numFmtId="0" fontId="5" fillId="7" borderId="29" xfId="0" applyFont="1" applyFill="1" applyBorder="1" applyAlignment="1">
      <alignment horizontal="left" vertical="top" wrapText="1"/>
    </xf>
    <xf numFmtId="0" fontId="5" fillId="7" borderId="18" xfId="0" applyFont="1" applyFill="1" applyBorder="1" applyAlignment="1">
      <alignment horizontal="left" vertical="top" wrapText="1"/>
    </xf>
    <xf numFmtId="0" fontId="0" fillId="7" borderId="23" xfId="0" applyFill="1" applyBorder="1" applyAlignment="1">
      <alignment horizontal="left" wrapText="1"/>
    </xf>
    <xf numFmtId="0" fontId="0" fillId="7" borderId="20" xfId="0" applyFill="1" applyBorder="1" applyAlignment="1">
      <alignment horizontal="left" wrapText="1"/>
    </xf>
    <xf numFmtId="0" fontId="7" fillId="7" borderId="13" xfId="0" applyFont="1" applyFill="1" applyBorder="1" applyAlignment="1">
      <alignment horizontal="left" vertical="top" wrapText="1"/>
    </xf>
    <xf numFmtId="0" fontId="7" fillId="7" borderId="43" xfId="0" applyFont="1" applyFill="1" applyBorder="1" applyAlignment="1">
      <alignment horizontal="left" vertical="top" wrapText="1"/>
    </xf>
    <xf numFmtId="0" fontId="7" fillId="7" borderId="21" xfId="0" applyFont="1" applyFill="1" applyBorder="1" applyAlignment="1">
      <alignment horizontal="left" vertical="top" wrapText="1"/>
    </xf>
    <xf numFmtId="0" fontId="7" fillId="7" borderId="42" xfId="0" applyFont="1" applyFill="1" applyBorder="1" applyAlignment="1">
      <alignment horizontal="left" vertical="top" wrapText="1"/>
    </xf>
    <xf numFmtId="0" fontId="7" fillId="7" borderId="22" xfId="0" applyFont="1" applyFill="1" applyBorder="1" applyAlignment="1">
      <alignment horizontal="left" vertical="top" wrapText="1"/>
    </xf>
    <xf numFmtId="0" fontId="28" fillId="6" borderId="13" xfId="0" applyFont="1" applyFill="1" applyBorder="1" applyAlignment="1">
      <alignment horizontal="left" vertical="center" wrapText="1"/>
    </xf>
    <xf numFmtId="0" fontId="28" fillId="6" borderId="14" xfId="0" applyFont="1" applyFill="1" applyBorder="1" applyAlignment="1">
      <alignment horizontal="left" vertical="center" wrapText="1"/>
    </xf>
    <xf numFmtId="0" fontId="28" fillId="6" borderId="15" xfId="0" applyFont="1" applyFill="1" applyBorder="1" applyAlignment="1">
      <alignment horizontal="left" vertical="center" wrapText="1"/>
    </xf>
    <xf numFmtId="0" fontId="28" fillId="6" borderId="19" xfId="0" applyFont="1" applyFill="1" applyBorder="1" applyAlignment="1">
      <alignment horizontal="left" vertical="center" wrapText="1"/>
    </xf>
    <xf numFmtId="0" fontId="28" fillId="6" borderId="23" xfId="0" applyFont="1" applyFill="1" applyBorder="1" applyAlignment="1">
      <alignment horizontal="left" vertical="center" wrapText="1"/>
    </xf>
    <xf numFmtId="0" fontId="6" fillId="7" borderId="29" xfId="0" applyFont="1" applyFill="1" applyBorder="1" applyAlignment="1">
      <alignment horizontal="left" vertical="top" wrapText="1"/>
    </xf>
    <xf numFmtId="0" fontId="13" fillId="7" borderId="21" xfId="0" applyFont="1" applyFill="1" applyBorder="1" applyAlignment="1">
      <alignment horizontal="left" vertical="top"/>
    </xf>
    <xf numFmtId="0" fontId="13" fillId="7" borderId="42" xfId="0" applyFont="1" applyFill="1" applyBorder="1" applyAlignment="1">
      <alignment horizontal="left" vertical="top"/>
    </xf>
    <xf numFmtId="0" fontId="13" fillId="7" borderId="22" xfId="0" applyFont="1" applyFill="1" applyBorder="1" applyAlignment="1">
      <alignment horizontal="left" vertical="top"/>
    </xf>
    <xf numFmtId="0" fontId="28" fillId="6" borderId="17" xfId="0" applyFont="1" applyFill="1" applyBorder="1" applyAlignment="1">
      <alignment horizontal="left" vertical="center" wrapText="1"/>
    </xf>
    <xf numFmtId="0" fontId="28" fillId="6" borderId="18" xfId="0" applyFont="1" applyFill="1" applyBorder="1" applyAlignment="1">
      <alignment horizontal="left" vertical="center" wrapText="1"/>
    </xf>
    <xf numFmtId="0" fontId="15" fillId="8" borderId="19" xfId="0" applyFont="1" applyFill="1" applyBorder="1" applyAlignment="1">
      <alignment horizontal="left"/>
    </xf>
    <xf numFmtId="0" fontId="15" fillId="8" borderId="23" xfId="0" applyFont="1" applyFill="1" applyBorder="1" applyAlignment="1">
      <alignment horizontal="left"/>
    </xf>
    <xf numFmtId="0" fontId="15" fillId="8" borderId="20" xfId="0" applyFont="1" applyFill="1" applyBorder="1" applyAlignment="1">
      <alignment horizontal="left"/>
    </xf>
    <xf numFmtId="0" fontId="28" fillId="6" borderId="20" xfId="0" applyFont="1" applyFill="1" applyBorder="1" applyAlignment="1">
      <alignment horizontal="left" vertical="center" wrapText="1"/>
    </xf>
    <xf numFmtId="0" fontId="19" fillId="7" borderId="21" xfId="0" applyFont="1" applyFill="1" applyBorder="1" applyAlignment="1">
      <alignment horizontal="left" vertical="top" wrapText="1"/>
    </xf>
    <xf numFmtId="0" fontId="19" fillId="7" borderId="42" xfId="0" applyFont="1" applyFill="1" applyBorder="1" applyAlignment="1">
      <alignment horizontal="left" vertical="top" wrapText="1"/>
    </xf>
    <xf numFmtId="0" fontId="47" fillId="7" borderId="0" xfId="0" applyFont="1" applyFill="1" applyAlignment="1">
      <alignment horizontal="left" vertical="center"/>
    </xf>
    <xf numFmtId="0" fontId="26" fillId="7" borderId="43" xfId="0" applyFont="1" applyFill="1" applyBorder="1" applyAlignment="1">
      <alignment horizontal="left" vertical="center" wrapText="1"/>
    </xf>
    <xf numFmtId="0" fontId="26" fillId="7" borderId="29" xfId="0" applyFont="1" applyFill="1" applyBorder="1" applyAlignment="1">
      <alignment horizontal="left" vertical="center" wrapText="1"/>
    </xf>
    <xf numFmtId="0" fontId="2" fillId="14" borderId="0" xfId="0" applyFont="1" applyFill="1" applyAlignment="1" applyProtection="1">
      <alignment horizontal="left" vertical="top" wrapText="1"/>
      <protection locked="0"/>
    </xf>
    <xf numFmtId="0" fontId="33" fillId="7" borderId="19" xfId="0" applyFont="1" applyFill="1" applyBorder="1" applyAlignment="1" applyProtection="1">
      <alignment horizontal="left" vertical="top" wrapText="1"/>
      <protection locked="0"/>
    </xf>
    <xf numFmtId="0" fontId="33" fillId="7" borderId="23" xfId="0" applyFont="1" applyFill="1" applyBorder="1" applyAlignment="1" applyProtection="1">
      <alignment horizontal="left" vertical="top" wrapText="1"/>
      <protection locked="0"/>
    </xf>
    <xf numFmtId="0" fontId="33" fillId="7" borderId="20" xfId="0" applyFont="1" applyFill="1" applyBorder="1" applyAlignment="1" applyProtection="1">
      <alignment horizontal="left" vertical="top" wrapText="1"/>
      <protection locked="0"/>
    </xf>
    <xf numFmtId="0" fontId="34" fillId="3" borderId="12" xfId="0" applyFont="1" applyFill="1" applyBorder="1" applyAlignment="1">
      <alignment vertical="center" wrapText="1"/>
    </xf>
    <xf numFmtId="0" fontId="34" fillId="7" borderId="19" xfId="0" applyFont="1" applyFill="1" applyBorder="1" applyAlignment="1" applyProtection="1">
      <alignment horizontal="left" vertical="top" wrapText="1"/>
      <protection locked="0"/>
    </xf>
    <xf numFmtId="0" fontId="34" fillId="7" borderId="23" xfId="0" applyFont="1" applyFill="1" applyBorder="1" applyAlignment="1" applyProtection="1">
      <alignment horizontal="left" vertical="top" wrapText="1"/>
      <protection locked="0"/>
    </xf>
    <xf numFmtId="0" fontId="34" fillId="7" borderId="20" xfId="0" applyFont="1" applyFill="1" applyBorder="1" applyAlignment="1" applyProtection="1">
      <alignment horizontal="left" vertical="top" wrapText="1"/>
      <protection locked="0"/>
    </xf>
    <xf numFmtId="0" fontId="7" fillId="5" borderId="19" xfId="0" applyFont="1" applyFill="1" applyBorder="1" applyAlignment="1">
      <alignment horizontal="left" vertical="center" wrapText="1"/>
    </xf>
    <xf numFmtId="0" fontId="7" fillId="5" borderId="23" xfId="0" applyFont="1" applyFill="1" applyBorder="1" applyAlignment="1">
      <alignment horizontal="left" vertical="center" wrapText="1"/>
    </xf>
    <xf numFmtId="0" fontId="7" fillId="5" borderId="20" xfId="0" applyFont="1" applyFill="1" applyBorder="1" applyAlignment="1">
      <alignment horizontal="left" vertical="center" wrapText="1"/>
    </xf>
    <xf numFmtId="0" fontId="33" fillId="3" borderId="12" xfId="0" applyFont="1" applyFill="1" applyBorder="1" applyAlignment="1">
      <alignment vertical="center" wrapText="1"/>
    </xf>
    <xf numFmtId="0" fontId="34" fillId="2" borderId="19" xfId="0" applyFont="1" applyFill="1" applyBorder="1" applyAlignment="1" applyProtection="1">
      <alignment horizontal="left" vertical="center" wrapText="1"/>
      <protection locked="0"/>
    </xf>
    <xf numFmtId="0" fontId="34" fillId="2" borderId="23" xfId="0" applyFont="1" applyFill="1" applyBorder="1" applyAlignment="1" applyProtection="1">
      <alignment horizontal="left" vertical="center" wrapText="1"/>
      <protection locked="0"/>
    </xf>
    <xf numFmtId="0" fontId="34" fillId="2" borderId="20" xfId="0" applyFont="1" applyFill="1" applyBorder="1" applyAlignment="1" applyProtection="1">
      <alignment horizontal="left" vertical="center" wrapText="1"/>
      <protection locked="0"/>
    </xf>
    <xf numFmtId="14" fontId="33" fillId="2" borderId="19" xfId="0" applyNumberFormat="1" applyFont="1" applyFill="1" applyBorder="1" applyAlignment="1" applyProtection="1">
      <alignment horizontal="left" vertical="center" wrapText="1"/>
      <protection locked="0"/>
    </xf>
    <xf numFmtId="0" fontId="33" fillId="2" borderId="23" xfId="0" applyFont="1" applyFill="1" applyBorder="1" applyAlignment="1" applyProtection="1">
      <alignment horizontal="left" vertical="center" wrapText="1"/>
      <protection locked="0"/>
    </xf>
    <xf numFmtId="0" fontId="33" fillId="2" borderId="20" xfId="0" applyFont="1" applyFill="1" applyBorder="1" applyAlignment="1" applyProtection="1">
      <alignment horizontal="left" vertical="center" wrapText="1"/>
      <protection locked="0"/>
    </xf>
    <xf numFmtId="0" fontId="33" fillId="3" borderId="19" xfId="0" applyFont="1" applyFill="1" applyBorder="1" applyAlignment="1">
      <alignment horizontal="left" vertical="center" wrapText="1"/>
    </xf>
    <xf numFmtId="0" fontId="33" fillId="3" borderId="20" xfId="0" applyFont="1" applyFill="1" applyBorder="1" applyAlignment="1">
      <alignment horizontal="left" vertical="center" wrapText="1"/>
    </xf>
    <xf numFmtId="0" fontId="33" fillId="3" borderId="12" xfId="0" applyFont="1" applyFill="1" applyBorder="1" applyAlignment="1">
      <alignment vertical="top" wrapText="1"/>
    </xf>
    <xf numFmtId="0" fontId="2" fillId="2" borderId="13" xfId="0" applyFont="1" applyFill="1" applyBorder="1" applyAlignment="1" applyProtection="1">
      <alignment horizontal="left" vertical="top" wrapText="1"/>
      <protection locked="0"/>
    </xf>
    <xf numFmtId="0" fontId="33" fillId="2" borderId="14" xfId="0" applyFont="1" applyFill="1" applyBorder="1" applyAlignment="1" applyProtection="1">
      <alignment horizontal="left" vertical="top" wrapText="1"/>
      <protection locked="0"/>
    </xf>
    <xf numFmtId="0" fontId="33" fillId="2" borderId="15" xfId="0" applyFont="1" applyFill="1" applyBorder="1" applyAlignment="1" applyProtection="1">
      <alignment horizontal="left" vertical="top" wrapText="1"/>
      <protection locked="0"/>
    </xf>
    <xf numFmtId="0" fontId="33" fillId="3" borderId="12" xfId="0" applyFont="1" applyFill="1" applyBorder="1" applyAlignment="1">
      <alignment horizontal="left" vertical="top" wrapText="1"/>
    </xf>
    <xf numFmtId="0" fontId="33" fillId="2" borderId="19" xfId="0" applyFont="1" applyFill="1" applyBorder="1" applyAlignment="1" applyProtection="1">
      <alignment horizontal="left" vertical="center" wrapText="1"/>
      <protection locked="0"/>
    </xf>
    <xf numFmtId="0" fontId="34" fillId="2" borderId="19" xfId="0" applyFont="1" applyFill="1" applyBorder="1" applyAlignment="1" applyProtection="1">
      <alignment horizontal="left" vertical="top" wrapText="1"/>
      <protection locked="0"/>
    </xf>
    <xf numFmtId="0" fontId="34" fillId="2" borderId="23" xfId="0" applyFont="1" applyFill="1" applyBorder="1" applyAlignment="1" applyProtection="1">
      <alignment horizontal="left" vertical="top" wrapText="1"/>
      <protection locked="0"/>
    </xf>
    <xf numFmtId="0" fontId="34" fillId="2" borderId="20" xfId="0" applyFont="1" applyFill="1" applyBorder="1" applyAlignment="1" applyProtection="1">
      <alignment horizontal="left" vertical="top" wrapText="1"/>
      <protection locked="0"/>
    </xf>
    <xf numFmtId="0" fontId="34" fillId="3" borderId="13" xfId="0" applyFont="1" applyFill="1" applyBorder="1" applyAlignment="1">
      <alignment horizontal="left" vertical="top" wrapText="1"/>
    </xf>
    <xf numFmtId="0" fontId="34" fillId="3" borderId="15" xfId="0" applyFont="1" applyFill="1" applyBorder="1" applyAlignment="1">
      <alignment horizontal="left" vertical="top" wrapText="1"/>
    </xf>
    <xf numFmtId="0" fontId="34" fillId="3" borderId="16" xfId="0" applyFont="1" applyFill="1" applyBorder="1" applyAlignment="1">
      <alignment horizontal="left" vertical="top" wrapText="1"/>
    </xf>
    <xf numFmtId="0" fontId="34" fillId="3" borderId="18" xfId="0" applyFont="1" applyFill="1" applyBorder="1" applyAlignment="1">
      <alignment horizontal="left" vertical="top" wrapText="1"/>
    </xf>
    <xf numFmtId="0" fontId="31" fillId="9" borderId="12" xfId="0" applyFont="1" applyFill="1" applyBorder="1" applyAlignment="1">
      <alignment horizontal="center"/>
    </xf>
    <xf numFmtId="0" fontId="31" fillId="6" borderId="12" xfId="0" applyFont="1" applyFill="1" applyBorder="1" applyAlignment="1">
      <alignment horizontal="center"/>
    </xf>
    <xf numFmtId="0" fontId="34" fillId="3" borderId="13" xfId="0" applyFont="1" applyFill="1" applyBorder="1" applyAlignment="1">
      <alignment horizontal="left" vertical="center" wrapText="1"/>
    </xf>
    <xf numFmtId="0" fontId="34" fillId="3" borderId="15" xfId="0" applyFont="1" applyFill="1" applyBorder="1" applyAlignment="1">
      <alignment horizontal="left" vertical="center" wrapText="1"/>
    </xf>
    <xf numFmtId="0" fontId="34" fillId="3" borderId="43" xfId="0" applyFont="1" applyFill="1" applyBorder="1" applyAlignment="1">
      <alignment horizontal="left" vertical="center" wrapText="1"/>
    </xf>
    <xf numFmtId="0" fontId="34" fillId="3" borderId="29" xfId="0" applyFont="1" applyFill="1" applyBorder="1" applyAlignment="1">
      <alignment horizontal="left" vertical="center" wrapText="1"/>
    </xf>
    <xf numFmtId="0" fontId="34" fillId="3" borderId="16" xfId="0" applyFont="1" applyFill="1" applyBorder="1" applyAlignment="1">
      <alignment horizontal="left" vertical="center" wrapText="1"/>
    </xf>
    <xf numFmtId="0" fontId="34" fillId="3" borderId="18" xfId="0" applyFont="1" applyFill="1" applyBorder="1" applyAlignment="1">
      <alignment horizontal="left" vertical="center" wrapText="1"/>
    </xf>
    <xf numFmtId="0" fontId="34" fillId="7" borderId="13" xfId="0" applyFont="1" applyFill="1" applyBorder="1" applyAlignment="1">
      <alignment horizontal="left" vertical="center" wrapText="1"/>
    </xf>
    <xf numFmtId="0" fontId="34" fillId="7" borderId="15" xfId="0" applyFont="1" applyFill="1" applyBorder="1" applyAlignment="1">
      <alignment horizontal="left" vertical="center" wrapText="1"/>
    </xf>
    <xf numFmtId="0" fontId="34" fillId="7" borderId="43" xfId="0" applyFont="1" applyFill="1" applyBorder="1" applyAlignment="1">
      <alignment horizontal="left" vertical="center" wrapText="1"/>
    </xf>
    <xf numFmtId="0" fontId="34" fillId="7" borderId="29" xfId="0" applyFont="1" applyFill="1" applyBorder="1" applyAlignment="1">
      <alignment horizontal="left" vertical="center" wrapText="1"/>
    </xf>
    <xf numFmtId="0" fontId="34" fillId="7" borderId="21" xfId="0" applyFont="1" applyFill="1" applyBorder="1" applyAlignment="1">
      <alignment horizontal="left" vertical="center" wrapText="1"/>
    </xf>
    <xf numFmtId="0" fontId="34" fillId="7" borderId="42" xfId="0" applyFont="1" applyFill="1" applyBorder="1" applyAlignment="1">
      <alignment horizontal="left" vertical="center" wrapText="1"/>
    </xf>
    <xf numFmtId="0" fontId="34" fillId="7" borderId="22" xfId="0" applyFont="1" applyFill="1" applyBorder="1" applyAlignment="1">
      <alignment horizontal="left" vertical="center" wrapText="1"/>
    </xf>
    <xf numFmtId="0" fontId="34" fillId="3" borderId="12" xfId="0" applyFont="1" applyFill="1" applyBorder="1" applyAlignment="1">
      <alignment horizontal="left" vertical="top" wrapText="1"/>
    </xf>
    <xf numFmtId="0" fontId="34" fillId="7" borderId="13" xfId="0" applyFont="1" applyFill="1" applyBorder="1" applyAlignment="1">
      <alignment horizontal="left" vertical="top" wrapText="1"/>
    </xf>
    <xf numFmtId="0" fontId="34" fillId="7" borderId="14" xfId="0" applyFont="1" applyFill="1" applyBorder="1" applyAlignment="1">
      <alignment horizontal="left" vertical="top" wrapText="1"/>
    </xf>
    <xf numFmtId="0" fontId="34" fillId="7" borderId="15" xfId="0" applyFont="1" applyFill="1" applyBorder="1" applyAlignment="1">
      <alignment horizontal="left" vertical="top" wrapText="1"/>
    </xf>
    <xf numFmtId="0" fontId="34" fillId="7" borderId="16" xfId="0" applyFont="1" applyFill="1" applyBorder="1" applyAlignment="1">
      <alignment horizontal="left" vertical="top" wrapText="1"/>
    </xf>
    <xf numFmtId="0" fontId="34" fillId="7" borderId="17" xfId="0" applyFont="1" applyFill="1" applyBorder="1" applyAlignment="1">
      <alignment horizontal="left" vertical="top" wrapText="1"/>
    </xf>
    <xf numFmtId="0" fontId="34" fillId="7" borderId="18" xfId="0" applyFont="1" applyFill="1" applyBorder="1" applyAlignment="1">
      <alignment horizontal="left" vertical="top" wrapText="1"/>
    </xf>
    <xf numFmtId="0" fontId="34" fillId="11" borderId="12" xfId="0" applyFont="1" applyFill="1" applyBorder="1" applyAlignment="1">
      <alignment horizontal="left" vertical="center" wrapText="1"/>
    </xf>
    <xf numFmtId="0" fontId="31" fillId="6" borderId="12" xfId="0" applyFont="1" applyFill="1" applyBorder="1" applyAlignment="1">
      <alignment horizontal="center" vertical="center" wrapText="1"/>
    </xf>
    <xf numFmtId="0" fontId="34" fillId="7" borderId="12" xfId="0" applyFont="1" applyFill="1" applyBorder="1" applyAlignment="1">
      <alignment horizontal="left" vertical="top" wrapText="1"/>
    </xf>
    <xf numFmtId="0" fontId="34" fillId="7" borderId="21" xfId="0" applyFont="1" applyFill="1" applyBorder="1" applyAlignment="1">
      <alignment horizontal="left" vertical="top" wrapText="1"/>
    </xf>
    <xf numFmtId="0" fontId="34" fillId="7" borderId="22" xfId="0" applyFont="1" applyFill="1" applyBorder="1" applyAlignment="1">
      <alignment horizontal="left" vertical="top" wrapText="1"/>
    </xf>
    <xf numFmtId="0" fontId="34" fillId="3" borderId="12" xfId="0" applyFont="1" applyFill="1" applyBorder="1" applyAlignment="1">
      <alignment horizontal="left" vertical="center" wrapText="1"/>
    </xf>
    <xf numFmtId="43" fontId="34" fillId="2" borderId="19" xfId="2" applyFont="1" applyFill="1" applyBorder="1" applyAlignment="1" applyProtection="1">
      <alignment horizontal="left" vertical="center" wrapText="1"/>
      <protection locked="0"/>
    </xf>
    <xf numFmtId="43" fontId="34" fillId="2" borderId="23" xfId="2" applyFont="1" applyFill="1" applyBorder="1" applyAlignment="1" applyProtection="1">
      <alignment horizontal="left" vertical="center" wrapText="1"/>
      <protection locked="0"/>
    </xf>
    <xf numFmtId="43" fontId="34" fillId="2" borderId="20" xfId="2" applyFont="1" applyFill="1" applyBorder="1" applyAlignment="1" applyProtection="1">
      <alignment horizontal="left" vertical="center" wrapText="1"/>
      <protection locked="0"/>
    </xf>
    <xf numFmtId="0" fontId="31" fillId="6" borderId="19" xfId="0" applyFont="1" applyFill="1" applyBorder="1" applyAlignment="1">
      <alignment horizontal="center" vertical="center" wrapText="1"/>
    </xf>
    <xf numFmtId="0" fontId="31" fillId="6" borderId="20" xfId="0" applyFont="1" applyFill="1" applyBorder="1" applyAlignment="1">
      <alignment horizontal="center" vertical="center" wrapText="1"/>
    </xf>
    <xf numFmtId="0" fontId="34" fillId="2" borderId="13" xfId="0" applyFont="1" applyFill="1" applyBorder="1" applyAlignment="1" applyProtection="1">
      <alignment horizontal="left" vertical="top" wrapText="1"/>
      <protection locked="0"/>
    </xf>
    <xf numFmtId="0" fontId="34" fillId="2" borderId="14" xfId="0" applyFont="1" applyFill="1" applyBorder="1" applyAlignment="1" applyProtection="1">
      <alignment horizontal="left" vertical="top" wrapText="1"/>
      <protection locked="0"/>
    </xf>
    <xf numFmtId="0" fontId="34" fillId="2" borderId="15" xfId="0" applyFont="1" applyFill="1" applyBorder="1" applyAlignment="1" applyProtection="1">
      <alignment horizontal="left" vertical="top" wrapText="1"/>
      <protection locked="0"/>
    </xf>
    <xf numFmtId="0" fontId="5" fillId="7" borderId="13" xfId="0" applyFont="1" applyFill="1" applyBorder="1" applyAlignment="1">
      <alignment horizontal="right" vertical="top" wrapText="1"/>
    </xf>
    <xf numFmtId="0" fontId="5" fillId="7" borderId="16" xfId="0" applyFont="1" applyFill="1" applyBorder="1" applyAlignment="1">
      <alignment horizontal="right" vertical="top" wrapText="1"/>
    </xf>
    <xf numFmtId="0" fontId="5" fillId="7" borderId="14" xfId="0" applyFont="1" applyFill="1" applyBorder="1" applyAlignment="1">
      <alignment horizontal="left" vertical="top" wrapText="1"/>
    </xf>
    <xf numFmtId="0" fontId="5" fillId="7" borderId="15" xfId="0" applyFont="1" applyFill="1" applyBorder="1" applyAlignment="1">
      <alignment horizontal="left" vertical="top" wrapText="1"/>
    </xf>
    <xf numFmtId="0" fontId="5" fillId="7" borderId="17" xfId="0" applyFont="1" applyFill="1" applyBorder="1" applyAlignment="1">
      <alignment horizontal="left" vertical="top" wrapText="1"/>
    </xf>
    <xf numFmtId="0" fontId="32" fillId="5" borderId="12" xfId="0" applyFont="1" applyFill="1" applyBorder="1" applyAlignment="1">
      <alignment horizontal="left" vertical="center" wrapText="1"/>
    </xf>
    <xf numFmtId="0" fontId="39" fillId="6" borderId="12" xfId="0" applyFont="1" applyFill="1" applyBorder="1" applyAlignment="1">
      <alignment horizontal="left" vertical="center" wrapText="1"/>
    </xf>
    <xf numFmtId="0" fontId="39" fillId="6" borderId="21" xfId="0" applyFont="1" applyFill="1" applyBorder="1" applyAlignment="1">
      <alignment horizontal="left" vertical="center" wrapText="1"/>
    </xf>
    <xf numFmtId="0" fontId="33" fillId="3" borderId="19" xfId="0" applyFont="1" applyFill="1" applyBorder="1" applyAlignment="1">
      <alignment horizontal="left" vertical="top" wrapText="1"/>
    </xf>
    <xf numFmtId="0" fontId="44" fillId="3" borderId="13" xfId="0" applyFont="1" applyFill="1" applyBorder="1" applyAlignment="1">
      <alignment horizontal="left" vertical="center" wrapText="1"/>
    </xf>
    <xf numFmtId="0" fontId="44" fillId="3" borderId="15" xfId="0" applyFont="1" applyFill="1" applyBorder="1" applyAlignment="1">
      <alignment horizontal="left" vertical="center" wrapText="1"/>
    </xf>
    <xf numFmtId="0" fontId="44" fillId="3" borderId="16" xfId="0" applyFont="1" applyFill="1" applyBorder="1" applyAlignment="1">
      <alignment horizontal="left" vertical="center" wrapText="1"/>
    </xf>
    <xf numFmtId="0" fontId="44" fillId="3" borderId="18" xfId="0" applyFont="1" applyFill="1" applyBorder="1" applyAlignment="1">
      <alignment horizontal="left" vertical="center" wrapText="1"/>
    </xf>
    <xf numFmtId="0" fontId="31" fillId="6" borderId="12" xfId="0" applyFont="1" applyFill="1" applyBorder="1" applyAlignment="1">
      <alignment horizontal="center" wrapText="1"/>
    </xf>
    <xf numFmtId="0" fontId="2" fillId="2" borderId="12" xfId="0" applyFont="1" applyFill="1" applyBorder="1" applyAlignment="1" applyProtection="1">
      <alignment horizontal="left" vertical="top" wrapText="1"/>
      <protection locked="0"/>
    </xf>
    <xf numFmtId="0" fontId="33" fillId="2" borderId="12" xfId="0" applyFont="1" applyFill="1" applyBorder="1" applyAlignment="1" applyProtection="1">
      <alignment horizontal="left" vertical="top" wrapText="1"/>
      <protection locked="0"/>
    </xf>
    <xf numFmtId="0" fontId="33" fillId="3" borderId="13" xfId="0" applyFont="1" applyFill="1" applyBorder="1" applyAlignment="1">
      <alignment horizontal="left" vertical="center" wrapText="1"/>
    </xf>
    <xf numFmtId="0" fontId="33" fillId="3" borderId="15" xfId="0" applyFont="1" applyFill="1" applyBorder="1" applyAlignment="1">
      <alignment horizontal="left" vertical="center" wrapText="1"/>
    </xf>
    <xf numFmtId="0" fontId="33" fillId="3" borderId="43"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16" xfId="0" applyFont="1" applyFill="1" applyBorder="1" applyAlignment="1">
      <alignment horizontal="left" vertical="center" wrapText="1"/>
    </xf>
    <xf numFmtId="0" fontId="33" fillId="3" borderId="18" xfId="0" applyFont="1" applyFill="1" applyBorder="1" applyAlignment="1">
      <alignment horizontal="left" vertical="center" wrapText="1"/>
    </xf>
    <xf numFmtId="0" fontId="33" fillId="0" borderId="12" xfId="0" applyFont="1" applyBorder="1" applyAlignment="1" applyProtection="1">
      <alignment horizontal="left" vertical="top" wrapText="1"/>
      <protection locked="0"/>
    </xf>
    <xf numFmtId="0" fontId="34" fillId="7" borderId="12" xfId="0" applyFont="1" applyFill="1" applyBorder="1" applyAlignment="1">
      <alignment horizontal="center" vertical="top" wrapText="1"/>
    </xf>
    <xf numFmtId="0" fontId="33" fillId="0" borderId="13" xfId="0" applyFont="1" applyBorder="1" applyAlignment="1" applyProtection="1">
      <alignment horizontal="left" vertical="top" wrapText="1"/>
      <protection locked="0"/>
    </xf>
    <xf numFmtId="0" fontId="33" fillId="0" borderId="15" xfId="0" applyFont="1" applyBorder="1" applyAlignment="1" applyProtection="1">
      <alignment horizontal="left" vertical="top" wrapText="1"/>
      <protection locked="0"/>
    </xf>
    <xf numFmtId="0" fontId="33" fillId="0" borderId="16" xfId="0" applyFont="1" applyBorder="1" applyAlignment="1" applyProtection="1">
      <alignment horizontal="left" vertical="top" wrapText="1"/>
      <protection locked="0"/>
    </xf>
    <xf numFmtId="0" fontId="33" fillId="0" borderId="18" xfId="0" applyFont="1" applyBorder="1" applyAlignment="1" applyProtection="1">
      <alignment horizontal="left" vertical="top" wrapText="1"/>
      <protection locked="0"/>
    </xf>
    <xf numFmtId="0" fontId="33" fillId="7" borderId="12" xfId="0" applyFont="1" applyFill="1" applyBorder="1" applyAlignment="1">
      <alignment horizontal="left" vertical="top" wrapText="1"/>
    </xf>
    <xf numFmtId="0" fontId="32" fillId="5" borderId="13" xfId="0" applyFont="1" applyFill="1" applyBorder="1" applyAlignment="1">
      <alignment horizontal="left" vertical="top" wrapText="1"/>
    </xf>
    <xf numFmtId="0" fontId="32" fillId="5" borderId="14" xfId="0" applyFont="1" applyFill="1" applyBorder="1" applyAlignment="1">
      <alignment horizontal="left" vertical="top" wrapText="1"/>
    </xf>
    <xf numFmtId="0" fontId="31" fillId="6" borderId="13" xfId="0" applyFont="1" applyFill="1" applyBorder="1" applyAlignment="1">
      <alignment horizontal="center" wrapText="1"/>
    </xf>
    <xf numFmtId="0" fontId="31" fillId="6" borderId="15" xfId="0" applyFont="1" applyFill="1" applyBorder="1" applyAlignment="1">
      <alignment horizontal="center" wrapText="1"/>
    </xf>
    <xf numFmtId="0" fontId="31" fillId="6" borderId="16" xfId="0" applyFont="1" applyFill="1" applyBorder="1" applyAlignment="1">
      <alignment horizontal="center" wrapText="1"/>
    </xf>
    <xf numFmtId="0" fontId="31" fillId="6" borderId="18" xfId="0" applyFont="1" applyFill="1" applyBorder="1" applyAlignment="1">
      <alignment horizontal="center" wrapText="1"/>
    </xf>
    <xf numFmtId="0" fontId="31" fillId="6" borderId="21" xfId="0" applyFont="1" applyFill="1" applyBorder="1" applyAlignment="1">
      <alignment horizontal="center" wrapText="1"/>
    </xf>
    <xf numFmtId="0" fontId="31" fillId="6" borderId="22" xfId="0" applyFont="1" applyFill="1" applyBorder="1" applyAlignment="1">
      <alignment horizontal="center" wrapText="1"/>
    </xf>
    <xf numFmtId="0" fontId="32" fillId="5" borderId="19" xfId="0" applyFont="1" applyFill="1" applyBorder="1" applyAlignment="1">
      <alignment horizontal="left" vertical="center" wrapText="1"/>
    </xf>
    <xf numFmtId="0" fontId="32" fillId="5" borderId="23" xfId="0" applyFont="1" applyFill="1" applyBorder="1" applyAlignment="1">
      <alignment horizontal="left" vertical="center" wrapText="1"/>
    </xf>
    <xf numFmtId="0" fontId="32" fillId="5" borderId="20" xfId="0" applyFont="1" applyFill="1" applyBorder="1" applyAlignment="1">
      <alignment horizontal="left" vertical="center" wrapText="1"/>
    </xf>
    <xf numFmtId="0" fontId="32" fillId="6" borderId="13" xfId="0" applyFont="1" applyFill="1" applyBorder="1" applyAlignment="1">
      <alignment horizontal="center" wrapText="1"/>
    </xf>
    <xf numFmtId="0" fontId="32" fillId="6" borderId="14" xfId="0" applyFont="1" applyFill="1" applyBorder="1" applyAlignment="1">
      <alignment horizontal="center" wrapText="1"/>
    </xf>
    <xf numFmtId="0" fontId="32" fillId="6" borderId="15" xfId="0" applyFont="1" applyFill="1" applyBorder="1" applyAlignment="1">
      <alignment horizontal="center" wrapText="1"/>
    </xf>
    <xf numFmtId="0" fontId="32" fillId="6" borderId="16" xfId="0" applyFont="1" applyFill="1" applyBorder="1" applyAlignment="1">
      <alignment horizontal="center" wrapText="1"/>
    </xf>
    <xf numFmtId="0" fontId="32" fillId="6" borderId="17" xfId="0" applyFont="1" applyFill="1" applyBorder="1" applyAlignment="1">
      <alignment horizontal="center" wrapText="1"/>
    </xf>
    <xf numFmtId="0" fontId="32" fillId="6" borderId="18" xfId="0" applyFont="1" applyFill="1" applyBorder="1" applyAlignment="1">
      <alignment horizontal="center" wrapText="1"/>
    </xf>
    <xf numFmtId="0" fontId="33" fillId="2" borderId="13" xfId="0" applyFont="1" applyFill="1" applyBorder="1" applyAlignment="1" applyProtection="1">
      <alignment horizontal="left" vertical="top" wrapText="1"/>
      <protection locked="0"/>
    </xf>
    <xf numFmtId="0" fontId="33" fillId="3" borderId="12" xfId="0" applyFont="1" applyFill="1" applyBorder="1" applyAlignment="1">
      <alignment horizontal="left" vertical="center" wrapText="1"/>
    </xf>
    <xf numFmtId="0" fontId="34" fillId="6" borderId="13" xfId="0" applyFont="1" applyFill="1" applyBorder="1" applyAlignment="1">
      <alignment horizontal="left" vertical="top" wrapText="1"/>
    </xf>
    <xf numFmtId="0" fontId="34" fillId="6" borderId="15" xfId="0" applyFont="1" applyFill="1" applyBorder="1" applyAlignment="1">
      <alignment horizontal="left" vertical="top" wrapText="1"/>
    </xf>
    <xf numFmtId="0" fontId="34" fillId="6" borderId="16" xfId="0" applyFont="1" applyFill="1" applyBorder="1" applyAlignment="1">
      <alignment horizontal="left" vertical="top" wrapText="1"/>
    </xf>
    <xf numFmtId="0" fontId="34" fillId="6" borderId="18" xfId="0" applyFont="1" applyFill="1" applyBorder="1" applyAlignment="1">
      <alignment horizontal="left" vertical="top" wrapText="1"/>
    </xf>
    <xf numFmtId="0" fontId="25" fillId="0" borderId="12" xfId="0" applyFont="1" applyBorder="1" applyAlignment="1">
      <alignment horizontal="left" vertical="top" wrapText="1"/>
    </xf>
    <xf numFmtId="0" fontId="35" fillId="0" borderId="12" xfId="0" applyFont="1" applyBorder="1" applyAlignment="1">
      <alignment horizontal="center" vertical="top"/>
    </xf>
    <xf numFmtId="0" fontId="24" fillId="0" borderId="12" xfId="1" applyBorder="1" applyAlignment="1">
      <alignment horizontal="left" vertical="top" wrapText="1"/>
    </xf>
    <xf numFmtId="0" fontId="34" fillId="16" borderId="12" xfId="0" applyFont="1" applyFill="1" applyBorder="1" applyAlignment="1">
      <alignment horizontal="left" vertical="top" wrapText="1"/>
    </xf>
    <xf numFmtId="0" fontId="34" fillId="16" borderId="19" xfId="0" applyFont="1" applyFill="1" applyBorder="1" applyAlignment="1" applyProtection="1">
      <alignment horizontal="left" vertical="center" wrapText="1"/>
      <protection locked="0"/>
    </xf>
    <xf numFmtId="0" fontId="34" fillId="16" borderId="23" xfId="0" applyFont="1" applyFill="1" applyBorder="1" applyAlignment="1" applyProtection="1">
      <alignment horizontal="left" vertical="center" wrapText="1"/>
      <protection locked="0"/>
    </xf>
    <xf numFmtId="0" fontId="34" fillId="16" borderId="20" xfId="0" applyFont="1" applyFill="1" applyBorder="1" applyAlignment="1" applyProtection="1">
      <alignment horizontal="left" vertical="center" wrapText="1"/>
      <protection locked="0"/>
    </xf>
    <xf numFmtId="0" fontId="5" fillId="16" borderId="14" xfId="0" applyFont="1" applyFill="1" applyBorder="1" applyAlignment="1">
      <alignment horizontal="left" vertical="top" wrapText="1"/>
    </xf>
    <xf numFmtId="0" fontId="5" fillId="16" borderId="15" xfId="0" applyFont="1" applyFill="1" applyBorder="1" applyAlignment="1">
      <alignment horizontal="left" vertical="top" wrapText="1"/>
    </xf>
    <xf numFmtId="0" fontId="5" fillId="16" borderId="17" xfId="0" applyFont="1" applyFill="1" applyBorder="1" applyAlignment="1">
      <alignment horizontal="left" vertical="top" wrapText="1"/>
    </xf>
    <xf numFmtId="0" fontId="5" fillId="16" borderId="18" xfId="0" applyFont="1" applyFill="1" applyBorder="1" applyAlignment="1">
      <alignment horizontal="left" vertical="top" wrapText="1"/>
    </xf>
    <xf numFmtId="0" fontId="34" fillId="16" borderId="13" xfId="0" applyFont="1" applyFill="1" applyBorder="1" applyAlignment="1">
      <alignment horizontal="left" vertical="top" wrapText="1"/>
    </xf>
    <xf numFmtId="0" fontId="34" fillId="16" borderId="14" xfId="0" applyFont="1" applyFill="1" applyBorder="1" applyAlignment="1">
      <alignment horizontal="left" vertical="top" wrapText="1"/>
    </xf>
    <xf numFmtId="0" fontId="34" fillId="16" borderId="15" xfId="0" applyFont="1" applyFill="1" applyBorder="1" applyAlignment="1">
      <alignment horizontal="left" vertical="top" wrapText="1"/>
    </xf>
    <xf numFmtId="0" fontId="34" fillId="16" borderId="16" xfId="0" applyFont="1" applyFill="1" applyBorder="1" applyAlignment="1">
      <alignment horizontal="left" vertical="top" wrapText="1"/>
    </xf>
    <xf numFmtId="0" fontId="34" fillId="16" borderId="17" xfId="0" applyFont="1" applyFill="1" applyBorder="1" applyAlignment="1">
      <alignment horizontal="left" vertical="top" wrapText="1"/>
    </xf>
    <xf numFmtId="0" fontId="34" fillId="16" borderId="18" xfId="0" applyFont="1" applyFill="1" applyBorder="1" applyAlignment="1">
      <alignment horizontal="left" vertical="top" wrapText="1"/>
    </xf>
    <xf numFmtId="0" fontId="34" fillId="16" borderId="21" xfId="0" applyFont="1" applyFill="1" applyBorder="1" applyAlignment="1">
      <alignment horizontal="center" vertical="top" wrapText="1"/>
    </xf>
    <xf numFmtId="0" fontId="34" fillId="16" borderId="22" xfId="0" applyFont="1" applyFill="1" applyBorder="1" applyAlignment="1">
      <alignment horizontal="center" vertical="top" wrapText="1"/>
    </xf>
    <xf numFmtId="0" fontId="5" fillId="16" borderId="13" xfId="0" applyFont="1" applyFill="1" applyBorder="1" applyAlignment="1">
      <alignment horizontal="right" vertical="top" wrapText="1"/>
    </xf>
    <xf numFmtId="0" fontId="5" fillId="16" borderId="16" xfId="0" applyFont="1" applyFill="1" applyBorder="1" applyAlignment="1">
      <alignment horizontal="right" vertical="top" wrapText="1"/>
    </xf>
    <xf numFmtId="0" fontId="34" fillId="16" borderId="21" xfId="0" applyFont="1" applyFill="1" applyBorder="1" applyAlignment="1">
      <alignment horizontal="left" vertical="center" wrapText="1"/>
    </xf>
    <xf numFmtId="0" fontId="34" fillId="16" borderId="42" xfId="0" applyFont="1" applyFill="1" applyBorder="1" applyAlignment="1">
      <alignment horizontal="left" vertical="center" wrapText="1"/>
    </xf>
    <xf numFmtId="0" fontId="34" fillId="16" borderId="22" xfId="0" applyFont="1" applyFill="1" applyBorder="1" applyAlignment="1">
      <alignment horizontal="left" vertical="center" wrapText="1"/>
    </xf>
    <xf numFmtId="0" fontId="25" fillId="0" borderId="23" xfId="0" applyFont="1" applyBorder="1" applyAlignment="1">
      <alignment horizontal="left" vertical="top" wrapText="1"/>
    </xf>
    <xf numFmtId="0" fontId="25" fillId="0" borderId="45" xfId="0" applyFont="1" applyBorder="1" applyAlignment="1">
      <alignment horizontal="left" vertical="top" wrapText="1"/>
    </xf>
    <xf numFmtId="0" fontId="25" fillId="0" borderId="57" xfId="0" applyFont="1" applyBorder="1" applyAlignment="1">
      <alignment horizontal="left" vertical="top" wrapText="1"/>
    </xf>
    <xf numFmtId="0" fontId="25" fillId="0" borderId="58" xfId="0" applyFont="1" applyBorder="1" applyAlignment="1">
      <alignment horizontal="left" vertical="top" wrapText="1"/>
    </xf>
    <xf numFmtId="0" fontId="33" fillId="3" borderId="4" xfId="0" applyFont="1" applyFill="1" applyBorder="1" applyAlignment="1">
      <alignment vertical="center" wrapText="1"/>
    </xf>
    <xf numFmtId="0" fontId="33" fillId="3" borderId="5" xfId="0" applyFont="1" applyFill="1" applyBorder="1" applyAlignment="1">
      <alignment vertical="center" wrapText="1"/>
    </xf>
    <xf numFmtId="0" fontId="34" fillId="3" borderId="4" xfId="0" applyFont="1" applyFill="1" applyBorder="1" applyAlignment="1">
      <alignment vertical="center" wrapText="1"/>
    </xf>
    <xf numFmtId="0" fontId="34" fillId="3" borderId="5" xfId="0" applyFont="1" applyFill="1" applyBorder="1" applyAlignment="1">
      <alignment vertical="center" wrapText="1"/>
    </xf>
    <xf numFmtId="0" fontId="34" fillId="3" borderId="7" xfId="0" applyFont="1" applyFill="1" applyBorder="1" applyAlignment="1">
      <alignment vertical="center" wrapText="1"/>
    </xf>
    <xf numFmtId="0" fontId="34" fillId="3" borderId="8" xfId="0" applyFont="1" applyFill="1" applyBorder="1" applyAlignment="1">
      <alignment vertical="center" wrapText="1"/>
    </xf>
    <xf numFmtId="0" fontId="25" fillId="0" borderId="34" xfId="0" applyFont="1" applyBorder="1" applyAlignment="1">
      <alignment horizontal="left" vertical="top" wrapText="1"/>
    </xf>
    <xf numFmtId="0" fontId="25" fillId="0" borderId="49" xfId="0" applyFont="1" applyBorder="1" applyAlignment="1">
      <alignment horizontal="left" vertical="top" wrapText="1"/>
    </xf>
    <xf numFmtId="0" fontId="25" fillId="0" borderId="17" xfId="0" applyFont="1" applyBorder="1" applyAlignment="1">
      <alignment horizontal="left" vertical="top" wrapText="1"/>
    </xf>
    <xf numFmtId="0" fontId="25" fillId="0" borderId="60" xfId="0" applyFont="1" applyBorder="1" applyAlignment="1">
      <alignment horizontal="left" vertical="top" wrapText="1"/>
    </xf>
    <xf numFmtId="0" fontId="34" fillId="7" borderId="4" xfId="0" applyFont="1" applyFill="1" applyBorder="1" applyAlignment="1">
      <alignment horizontal="center" vertical="top" wrapText="1"/>
    </xf>
    <xf numFmtId="0" fontId="34" fillId="7" borderId="40" xfId="0" applyFont="1" applyFill="1" applyBorder="1" applyAlignment="1">
      <alignment horizontal="center" vertical="top" wrapText="1"/>
    </xf>
    <xf numFmtId="0" fontId="34" fillId="7" borderId="7" xfId="0" applyFont="1" applyFill="1" applyBorder="1" applyAlignment="1">
      <alignment horizontal="center" vertical="top" wrapText="1"/>
    </xf>
    <xf numFmtId="0" fontId="34" fillId="7" borderId="44" xfId="0" applyFont="1" applyFill="1" applyBorder="1" applyAlignment="1">
      <alignment horizontal="center" vertical="top" wrapText="1"/>
    </xf>
    <xf numFmtId="0" fontId="34" fillId="7" borderId="48" xfId="0" applyFont="1" applyFill="1" applyBorder="1" applyAlignment="1">
      <alignment horizontal="center" vertical="top" wrapText="1"/>
    </xf>
    <xf numFmtId="0" fontId="34" fillId="7" borderId="55" xfId="0" applyFont="1" applyFill="1" applyBorder="1" applyAlignment="1">
      <alignment horizontal="center" vertical="top" wrapText="1"/>
    </xf>
    <xf numFmtId="0" fontId="33" fillId="3" borderId="4" xfId="0" applyFont="1" applyFill="1" applyBorder="1" applyAlignment="1">
      <alignment horizontal="left" vertical="top" wrapText="1"/>
    </xf>
    <xf numFmtId="0" fontId="33" fillId="3" borderId="5" xfId="0" applyFont="1" applyFill="1" applyBorder="1" applyAlignment="1">
      <alignment horizontal="left" vertical="top" wrapText="1"/>
    </xf>
    <xf numFmtId="0" fontId="33" fillId="3" borderId="7" xfId="0" applyFont="1" applyFill="1" applyBorder="1" applyAlignment="1">
      <alignment horizontal="left" vertical="top" wrapText="1"/>
    </xf>
    <xf numFmtId="0" fontId="33" fillId="3" borderId="8" xfId="0" applyFont="1" applyFill="1" applyBorder="1" applyAlignment="1">
      <alignment horizontal="left" vertical="top" wrapText="1"/>
    </xf>
    <xf numFmtId="0" fontId="33" fillId="7" borderId="30" xfId="0" applyFont="1" applyFill="1" applyBorder="1" applyAlignment="1">
      <alignment horizontal="left" vertical="center" wrapText="1"/>
    </xf>
    <xf numFmtId="0" fontId="33" fillId="7" borderId="18" xfId="0" applyFont="1" applyFill="1" applyBorder="1" applyAlignment="1">
      <alignment horizontal="left" vertical="center" wrapText="1"/>
    </xf>
    <xf numFmtId="0" fontId="30" fillId="7" borderId="35" xfId="0" applyFont="1" applyFill="1" applyBorder="1" applyAlignment="1">
      <alignment horizontal="left"/>
    </xf>
    <xf numFmtId="0" fontId="30" fillId="7" borderId="15" xfId="0" applyFont="1" applyFill="1" applyBorder="1" applyAlignment="1">
      <alignment horizontal="left"/>
    </xf>
    <xf numFmtId="0" fontId="34" fillId="3" borderId="1" xfId="0" applyFont="1" applyFill="1" applyBorder="1" applyAlignment="1">
      <alignment horizontal="left" vertical="center" wrapText="1"/>
    </xf>
    <xf numFmtId="0" fontId="34" fillId="3" borderId="41" xfId="0" applyFont="1" applyFill="1" applyBorder="1" applyAlignment="1">
      <alignment horizontal="left" vertical="center" wrapText="1"/>
    </xf>
    <xf numFmtId="164" fontId="3" fillId="0" borderId="37" xfId="2" applyNumberFormat="1" applyFont="1" applyBorder="1" applyAlignment="1">
      <alignment horizontal="center"/>
    </xf>
    <xf numFmtId="164" fontId="3" fillId="0" borderId="12" xfId="2" applyNumberFormat="1" applyFont="1" applyBorder="1" applyAlignment="1">
      <alignment horizontal="center"/>
    </xf>
    <xf numFmtId="0" fontId="33" fillId="7" borderId="19" xfId="0" applyFont="1" applyFill="1" applyBorder="1" applyAlignment="1">
      <alignment horizontal="center" vertical="center" wrapText="1"/>
    </xf>
    <xf numFmtId="0" fontId="33" fillId="7" borderId="56" xfId="0" applyFont="1" applyFill="1" applyBorder="1" applyAlignment="1">
      <alignment horizontal="center" vertical="center" wrapText="1"/>
    </xf>
    <xf numFmtId="164" fontId="3" fillId="0" borderId="26" xfId="2" applyNumberFormat="1" applyFont="1" applyBorder="1" applyAlignment="1">
      <alignment horizontal="center"/>
    </xf>
    <xf numFmtId="0" fontId="33" fillId="3" borderId="37" xfId="0" applyFont="1" applyFill="1" applyBorder="1" applyAlignment="1">
      <alignment horizontal="left" vertical="center" wrapText="1"/>
    </xf>
    <xf numFmtId="0" fontId="34" fillId="7" borderId="35" xfId="0" applyFont="1" applyFill="1" applyBorder="1" applyAlignment="1">
      <alignment horizontal="left" vertical="center" wrapText="1"/>
    </xf>
    <xf numFmtId="0" fontId="34" fillId="7" borderId="14" xfId="0" applyFont="1" applyFill="1" applyBorder="1" applyAlignment="1">
      <alignment horizontal="left" vertical="center" wrapText="1"/>
    </xf>
    <xf numFmtId="0" fontId="34" fillId="7" borderId="30"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2" fillId="3" borderId="36" xfId="0" applyFont="1" applyFill="1" applyBorder="1" applyAlignment="1">
      <alignment horizontal="center" vertical="center" wrapText="1"/>
    </xf>
    <xf numFmtId="0" fontId="32" fillId="3" borderId="33" xfId="0" applyFont="1" applyFill="1" applyBorder="1" applyAlignment="1">
      <alignment horizontal="center" vertical="center" wrapText="1"/>
    </xf>
    <xf numFmtId="0" fontId="31" fillId="6" borderId="24"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1" fillId="6" borderId="36" xfId="0" applyFont="1" applyFill="1" applyBorder="1" applyAlignment="1">
      <alignment horizontal="center" vertical="center" wrapText="1"/>
    </xf>
    <xf numFmtId="0" fontId="33" fillId="0" borderId="37" xfId="0" applyFont="1" applyBorder="1" applyAlignment="1">
      <alignment horizontal="left" vertical="top" wrapText="1"/>
    </xf>
    <xf numFmtId="0" fontId="33" fillId="0" borderId="12" xfId="0" applyFont="1" applyBorder="1" applyAlignment="1">
      <alignment horizontal="left" vertical="top" wrapText="1"/>
    </xf>
    <xf numFmtId="0" fontId="33" fillId="7" borderId="19" xfId="0" applyFont="1" applyFill="1" applyBorder="1" applyAlignment="1">
      <alignment horizontal="center" vertical="top" wrapText="1"/>
    </xf>
    <xf numFmtId="0" fontId="33" fillId="0" borderId="38" xfId="0" applyFont="1" applyBorder="1" applyAlignment="1">
      <alignment horizontal="left" vertical="top" wrapText="1"/>
    </xf>
    <xf numFmtId="0" fontId="33" fillId="0" borderId="27" xfId="0" applyFont="1" applyBorder="1" applyAlignment="1">
      <alignment horizontal="left" vertical="top" wrapText="1"/>
    </xf>
    <xf numFmtId="0" fontId="33" fillId="7" borderId="56" xfId="0" applyFont="1" applyFill="1" applyBorder="1" applyAlignment="1">
      <alignment horizontal="center" vertical="top" wrapText="1"/>
    </xf>
    <xf numFmtId="0" fontId="32" fillId="5" borderId="1" xfId="0" applyFont="1" applyFill="1" applyBorder="1" applyAlignment="1">
      <alignment vertical="center" wrapText="1"/>
    </xf>
    <xf numFmtId="0" fontId="32" fillId="5" borderId="2" xfId="0" applyFont="1" applyFill="1" applyBorder="1" applyAlignment="1">
      <alignment vertical="center" wrapText="1"/>
    </xf>
    <xf numFmtId="0" fontId="32" fillId="5" borderId="6" xfId="0" applyFont="1" applyFill="1" applyBorder="1" applyAlignment="1">
      <alignment vertical="center" wrapText="1"/>
    </xf>
    <xf numFmtId="0" fontId="32" fillId="5" borderId="5" xfId="0" applyFont="1" applyFill="1" applyBorder="1" applyAlignment="1">
      <alignment vertical="center" wrapText="1"/>
    </xf>
    <xf numFmtId="0" fontId="33" fillId="3" borderId="4" xfId="0" applyFont="1" applyFill="1" applyBorder="1" applyAlignment="1">
      <alignment horizontal="left" vertical="center" wrapText="1"/>
    </xf>
    <xf numFmtId="0" fontId="33" fillId="3" borderId="6" xfId="0" applyFont="1" applyFill="1" applyBorder="1" applyAlignment="1">
      <alignment horizontal="left" vertical="center" wrapText="1"/>
    </xf>
    <xf numFmtId="0" fontId="33" fillId="3" borderId="1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5" fillId="7" borderId="35" xfId="0" applyFont="1" applyFill="1" applyBorder="1" applyAlignment="1">
      <alignment horizontal="right" vertical="top" wrapText="1"/>
    </xf>
    <xf numFmtId="0" fontId="5" fillId="7" borderId="7" xfId="0" applyFont="1" applyFill="1" applyBorder="1" applyAlignment="1">
      <alignment horizontal="right" vertical="top" wrapText="1"/>
    </xf>
    <xf numFmtId="0" fontId="33" fillId="3" borderId="7" xfId="0" applyFont="1" applyFill="1" applyBorder="1" applyAlignment="1">
      <alignment horizontal="left" vertical="center" wrapText="1"/>
    </xf>
    <xf numFmtId="0" fontId="33" fillId="3" borderId="9" xfId="0" applyFont="1" applyFill="1" applyBorder="1" applyAlignment="1">
      <alignment horizontal="left" vertical="center" wrapText="1"/>
    </xf>
    <xf numFmtId="0" fontId="33" fillId="2" borderId="4" xfId="0" applyFont="1" applyFill="1" applyBorder="1" applyAlignment="1">
      <alignment horizontal="left" vertical="top" wrapText="1"/>
    </xf>
    <xf numFmtId="0" fontId="33" fillId="2" borderId="6" xfId="0" applyFont="1" applyFill="1" applyBorder="1" applyAlignment="1">
      <alignment horizontal="left" vertical="top" wrapText="1"/>
    </xf>
    <xf numFmtId="0" fontId="33" fillId="2" borderId="5" xfId="0" applyFont="1" applyFill="1" applyBorder="1" applyAlignment="1">
      <alignment horizontal="left" vertical="top" wrapText="1"/>
    </xf>
    <xf numFmtId="0" fontId="33" fillId="0" borderId="35" xfId="0" applyFont="1" applyBorder="1" applyAlignment="1">
      <alignment horizontal="left" vertical="center" wrapText="1"/>
    </xf>
    <xf numFmtId="0" fontId="33" fillId="0" borderId="15" xfId="0" applyFont="1" applyBorder="1" applyAlignment="1">
      <alignment horizontal="left" vertical="center" wrapText="1"/>
    </xf>
    <xf numFmtId="0" fontId="33" fillId="0" borderId="30" xfId="0" applyFont="1" applyBorder="1" applyAlignment="1">
      <alignment horizontal="left" vertical="center" wrapText="1"/>
    </xf>
    <xf numFmtId="0" fontId="33" fillId="0" borderId="18" xfId="0" applyFont="1" applyBorder="1" applyAlignment="1">
      <alignment horizontal="left" vertical="center" wrapText="1"/>
    </xf>
    <xf numFmtId="0" fontId="34" fillId="7" borderId="16" xfId="0" applyFont="1" applyFill="1" applyBorder="1" applyAlignment="1">
      <alignment horizontal="left" vertical="center" wrapText="1"/>
    </xf>
    <xf numFmtId="0" fontId="5" fillId="7" borderId="30" xfId="0" applyFont="1" applyFill="1" applyBorder="1" applyAlignment="1">
      <alignment horizontal="right" vertical="top" wrapText="1"/>
    </xf>
    <xf numFmtId="0" fontId="34" fillId="7" borderId="9" xfId="0" applyFont="1" applyFill="1" applyBorder="1" applyAlignment="1">
      <alignment horizontal="left" vertical="top" wrapText="1"/>
    </xf>
    <xf numFmtId="0" fontId="31" fillId="6" borderId="4" xfId="0" applyFont="1" applyFill="1" applyBorder="1" applyAlignment="1">
      <alignment horizontal="center" vertical="center" wrapText="1"/>
    </xf>
    <xf numFmtId="0" fontId="31" fillId="6" borderId="40" xfId="0" applyFont="1" applyFill="1" applyBorder="1" applyAlignment="1">
      <alignment horizontal="center" vertical="center" wrapText="1"/>
    </xf>
    <xf numFmtId="0" fontId="33" fillId="0" borderId="10" xfId="0" applyFont="1" applyBorder="1" applyAlignment="1">
      <alignment horizontal="left" vertical="center" wrapText="1"/>
    </xf>
    <xf numFmtId="0" fontId="33" fillId="0" borderId="29" xfId="0" applyFont="1" applyBorder="1" applyAlignment="1">
      <alignment horizontal="left" vertical="center" wrapText="1"/>
    </xf>
    <xf numFmtId="165" fontId="34" fillId="2" borderId="20" xfId="2" applyNumberFormat="1" applyFont="1" applyFill="1" applyBorder="1" applyAlignment="1">
      <alignment horizontal="center" vertical="center" wrapText="1"/>
    </xf>
    <xf numFmtId="165" fontId="34" fillId="2" borderId="12" xfId="2" applyNumberFormat="1" applyFont="1" applyFill="1" applyBorder="1" applyAlignment="1">
      <alignment horizontal="center" vertical="center" wrapText="1"/>
    </xf>
    <xf numFmtId="165" fontId="34" fillId="2" borderId="19" xfId="2" applyNumberFormat="1" applyFont="1" applyFill="1" applyBorder="1" applyAlignment="1">
      <alignment horizontal="center" vertical="center" wrapText="1"/>
    </xf>
    <xf numFmtId="165" fontId="34" fillId="2" borderId="26" xfId="2" applyNumberFormat="1" applyFont="1" applyFill="1" applyBorder="1" applyAlignment="1">
      <alignment horizontal="center" vertical="center" wrapText="1"/>
    </xf>
    <xf numFmtId="0" fontId="33" fillId="7" borderId="1" xfId="0" applyFont="1" applyFill="1" applyBorder="1" applyAlignment="1" applyProtection="1">
      <alignment horizontal="left" vertical="center" wrapText="1"/>
      <protection locked="0"/>
    </xf>
    <xf numFmtId="0" fontId="33" fillId="7" borderId="2" xfId="0" applyFont="1" applyFill="1" applyBorder="1" applyAlignment="1" applyProtection="1">
      <alignment horizontal="left" vertical="center" wrapText="1"/>
      <protection locked="0"/>
    </xf>
    <xf numFmtId="0" fontId="33" fillId="7" borderId="3" xfId="0" applyFont="1" applyFill="1" applyBorder="1" applyAlignment="1" applyProtection="1">
      <alignment horizontal="left" vertical="center" wrapText="1"/>
      <protection locked="0"/>
    </xf>
    <xf numFmtId="0" fontId="31" fillId="6" borderId="6" xfId="0" applyFont="1" applyFill="1" applyBorder="1" applyAlignment="1">
      <alignment horizontal="center" vertical="center" wrapText="1"/>
    </xf>
    <xf numFmtId="165" fontId="34" fillId="2" borderId="15" xfId="2" applyNumberFormat="1" applyFont="1" applyFill="1" applyBorder="1" applyAlignment="1">
      <alignment horizontal="center" vertical="center" wrapText="1"/>
    </xf>
    <xf numFmtId="165" fontId="34" fillId="2" borderId="21" xfId="2" applyNumberFormat="1" applyFont="1" applyFill="1" applyBorder="1" applyAlignment="1">
      <alignment horizontal="center" vertical="center" wrapText="1"/>
    </xf>
    <xf numFmtId="43" fontId="34" fillId="2" borderId="21" xfId="2" applyFont="1" applyFill="1" applyBorder="1" applyAlignment="1">
      <alignment horizontal="center" vertical="center" wrapText="1"/>
    </xf>
    <xf numFmtId="165" fontId="34" fillId="2" borderId="13" xfId="2" applyNumberFormat="1" applyFont="1" applyFill="1" applyBorder="1" applyAlignment="1">
      <alignment horizontal="center" vertical="center" wrapText="1"/>
    </xf>
    <xf numFmtId="165" fontId="34" fillId="2" borderId="39" xfId="2" applyNumberFormat="1" applyFont="1" applyFill="1" applyBorder="1" applyAlignment="1">
      <alignment horizontal="center" vertical="center" wrapText="1"/>
    </xf>
    <xf numFmtId="0" fontId="34" fillId="7" borderId="48" xfId="0" applyFont="1" applyFill="1" applyBorder="1" applyAlignment="1">
      <alignment horizontal="left" vertical="top" wrapText="1"/>
    </xf>
    <xf numFmtId="0" fontId="34" fillId="7" borderId="43" xfId="0" applyFont="1" applyFill="1" applyBorder="1" applyAlignment="1">
      <alignment horizontal="left" vertical="top" wrapText="1"/>
    </xf>
    <xf numFmtId="43" fontId="34" fillId="2" borderId="7" xfId="2" applyFont="1" applyFill="1" applyBorder="1" applyAlignment="1" applyProtection="1">
      <alignment horizontal="left" vertical="center" wrapText="1"/>
    </xf>
    <xf numFmtId="43" fontId="34" fillId="2" borderId="9" xfId="2" applyFont="1" applyFill="1" applyBorder="1" applyAlignment="1" applyProtection="1">
      <alignment horizontal="left" vertical="center" wrapText="1"/>
    </xf>
    <xf numFmtId="43" fontId="34" fillId="2" borderId="8" xfId="2" applyFont="1" applyFill="1" applyBorder="1" applyAlignment="1" applyProtection="1">
      <alignment horizontal="left" vertical="center" wrapText="1"/>
    </xf>
    <xf numFmtId="43" fontId="34" fillId="2" borderId="4" xfId="2" applyFont="1" applyFill="1" applyBorder="1" applyAlignment="1" applyProtection="1">
      <alignment horizontal="left" vertical="center" wrapText="1"/>
    </xf>
    <xf numFmtId="43" fontId="34" fillId="2" borderId="6" xfId="2" applyFont="1" applyFill="1" applyBorder="1" applyAlignment="1" applyProtection="1">
      <alignment horizontal="left" vertical="center" wrapText="1"/>
    </xf>
    <xf numFmtId="43" fontId="34" fillId="2" borderId="5" xfId="2" applyFont="1" applyFill="1" applyBorder="1" applyAlignment="1" applyProtection="1">
      <alignment horizontal="left" vertical="center" wrapText="1"/>
    </xf>
    <xf numFmtId="43" fontId="34" fillId="2" borderId="1" xfId="2" applyFont="1" applyFill="1" applyBorder="1" applyAlignment="1" applyProtection="1">
      <alignment horizontal="left" vertical="center" wrapText="1"/>
    </xf>
    <xf numFmtId="43" fontId="34" fillId="2" borderId="2" xfId="2" applyFont="1" applyFill="1" applyBorder="1" applyAlignment="1" applyProtection="1">
      <alignment horizontal="left" vertical="center" wrapText="1"/>
    </xf>
    <xf numFmtId="43" fontId="34" fillId="2" borderId="3" xfId="2" applyFont="1" applyFill="1" applyBorder="1" applyAlignment="1" applyProtection="1">
      <alignment horizontal="left" vertical="center" wrapText="1"/>
    </xf>
    <xf numFmtId="0" fontId="34" fillId="3" borderId="4" xfId="0" applyFont="1" applyFill="1" applyBorder="1" applyAlignment="1">
      <alignment horizontal="left" vertical="top" wrapText="1"/>
    </xf>
    <xf numFmtId="0" fontId="34" fillId="3" borderId="5" xfId="0" applyFont="1" applyFill="1" applyBorder="1" applyAlignment="1">
      <alignment horizontal="left" vertical="top" wrapText="1"/>
    </xf>
    <xf numFmtId="0" fontId="34" fillId="2" borderId="1" xfId="0" applyFont="1" applyFill="1" applyBorder="1" applyAlignment="1">
      <alignment horizontal="left" vertical="center" wrapText="1"/>
    </xf>
    <xf numFmtId="0" fontId="34" fillId="2" borderId="2" xfId="0" applyFont="1" applyFill="1" applyBorder="1" applyAlignment="1">
      <alignment horizontal="left" vertical="center" wrapText="1"/>
    </xf>
    <xf numFmtId="0" fontId="34" fillId="2" borderId="3" xfId="0" applyFont="1" applyFill="1" applyBorder="1" applyAlignment="1">
      <alignment horizontal="left" vertical="center" wrapText="1"/>
    </xf>
    <xf numFmtId="43" fontId="34" fillId="2" borderId="51" xfId="0" applyNumberFormat="1"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1" fillId="6" borderId="32" xfId="0" applyFont="1" applyFill="1" applyBorder="1" applyAlignment="1">
      <alignment horizontal="center" vertical="center" wrapText="1"/>
    </xf>
    <xf numFmtId="0" fontId="31" fillId="6" borderId="33" xfId="0" applyFont="1" applyFill="1" applyBorder="1" applyAlignment="1">
      <alignment horizontal="center" vertical="center" wrapText="1"/>
    </xf>
    <xf numFmtId="0" fontId="31" fillId="6" borderId="31" xfId="0" applyFont="1" applyFill="1" applyBorder="1" applyAlignment="1">
      <alignment horizontal="center" vertical="center" wrapText="1"/>
    </xf>
    <xf numFmtId="0" fontId="31" fillId="6" borderId="34" xfId="0" applyFont="1" applyFill="1" applyBorder="1" applyAlignment="1">
      <alignment horizontal="center" vertical="center" wrapText="1"/>
    </xf>
    <xf numFmtId="0" fontId="31" fillId="6" borderId="49" xfId="0" applyFont="1" applyFill="1" applyBorder="1" applyAlignment="1">
      <alignment horizontal="center" vertical="center" wrapText="1"/>
    </xf>
    <xf numFmtId="0" fontId="34" fillId="3" borderId="4" xfId="0" applyFont="1" applyFill="1" applyBorder="1" applyAlignment="1">
      <alignment horizontal="left" vertical="center" wrapText="1"/>
    </xf>
    <xf numFmtId="0" fontId="34" fillId="3" borderId="6" xfId="0" applyFont="1" applyFill="1" applyBorder="1" applyAlignment="1">
      <alignment horizontal="left" vertical="center" wrapText="1"/>
    </xf>
    <xf numFmtId="0" fontId="34" fillId="3" borderId="3" xfId="0" applyFont="1" applyFill="1" applyBorder="1" applyAlignment="1">
      <alignment horizontal="left" vertical="center" wrapText="1"/>
    </xf>
    <xf numFmtId="0" fontId="34" fillId="3" borderId="10"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33" fillId="6" borderId="1" xfId="0" applyFont="1" applyFill="1" applyBorder="1" applyAlignment="1">
      <alignment horizontal="left" vertical="center" wrapText="1"/>
    </xf>
    <xf numFmtId="0" fontId="33" fillId="6" borderId="3" xfId="0" applyFont="1" applyFill="1" applyBorder="1" applyAlignment="1">
      <alignment horizontal="left" vertical="center" wrapText="1"/>
    </xf>
    <xf numFmtId="164" fontId="3" fillId="0" borderId="36" xfId="2" applyNumberFormat="1" applyFont="1" applyBorder="1" applyAlignment="1">
      <alignment horizontal="center"/>
    </xf>
    <xf numFmtId="164" fontId="3" fillId="0" borderId="24" xfId="2" applyNumberFormat="1" applyFont="1" applyBorder="1" applyAlignment="1">
      <alignment horizontal="center"/>
    </xf>
    <xf numFmtId="164" fontId="3" fillId="0" borderId="25" xfId="2" applyNumberFormat="1" applyFont="1" applyBorder="1" applyAlignment="1">
      <alignment horizontal="center"/>
    </xf>
    <xf numFmtId="0" fontId="34" fillId="7" borderId="4" xfId="0" applyFont="1" applyFill="1" applyBorder="1" applyAlignment="1">
      <alignment horizontal="left" vertical="top" wrapText="1"/>
    </xf>
    <xf numFmtId="0" fontId="34" fillId="7" borderId="6" xfId="0" applyFont="1" applyFill="1" applyBorder="1" applyAlignment="1">
      <alignment horizontal="left" vertical="top" wrapText="1"/>
    </xf>
    <xf numFmtId="0" fontId="34" fillId="7" borderId="10" xfId="0" applyFont="1" applyFill="1" applyBorder="1" applyAlignment="1">
      <alignment horizontal="left" vertical="top" wrapText="1"/>
    </xf>
    <xf numFmtId="0" fontId="34" fillId="7" borderId="0" xfId="0" applyFont="1" applyFill="1" applyBorder="1" applyAlignment="1">
      <alignment horizontal="left" vertical="top" wrapText="1"/>
    </xf>
    <xf numFmtId="0" fontId="34" fillId="7" borderId="35" xfId="0" applyFont="1" applyFill="1" applyBorder="1" applyAlignment="1">
      <alignment horizontal="center" vertical="top" wrapText="1"/>
    </xf>
    <xf numFmtId="0" fontId="34" fillId="7" borderId="14" xfId="0" applyFont="1" applyFill="1" applyBorder="1" applyAlignment="1">
      <alignment horizontal="center" vertical="top" wrapText="1"/>
    </xf>
    <xf numFmtId="0" fontId="34" fillId="7" borderId="50" xfId="0" applyFont="1" applyFill="1" applyBorder="1" applyAlignment="1">
      <alignment horizontal="center" vertical="top" wrapText="1"/>
    </xf>
    <xf numFmtId="0" fontId="34" fillId="7" borderId="9" xfId="0" applyFont="1" applyFill="1" applyBorder="1" applyAlignment="1">
      <alignment horizontal="center" vertical="top" wrapText="1"/>
    </xf>
    <xf numFmtId="0" fontId="34" fillId="7" borderId="8" xfId="0" applyFont="1" applyFill="1" applyBorder="1" applyAlignment="1">
      <alignment horizontal="center" vertical="top" wrapText="1"/>
    </xf>
    <xf numFmtId="0" fontId="32" fillId="5" borderId="3" xfId="0" applyFont="1" applyFill="1" applyBorder="1" applyAlignment="1">
      <alignment vertical="center" wrapText="1"/>
    </xf>
    <xf numFmtId="0" fontId="51" fillId="12" borderId="1" xfId="0" applyFont="1" applyFill="1" applyBorder="1" applyAlignment="1">
      <alignment vertical="center" wrapText="1"/>
    </xf>
    <xf numFmtId="0" fontId="51" fillId="12" borderId="2" xfId="0" applyFont="1" applyFill="1" applyBorder="1" applyAlignment="1">
      <alignment vertical="center" wrapText="1"/>
    </xf>
    <xf numFmtId="0" fontId="51" fillId="12" borderId="3" xfId="0" applyFont="1" applyFill="1" applyBorder="1" applyAlignment="1">
      <alignment vertical="center" wrapText="1"/>
    </xf>
    <xf numFmtId="0" fontId="33" fillId="3" borderId="1" xfId="0" applyFont="1" applyFill="1" applyBorder="1" applyAlignment="1">
      <alignment vertical="center" wrapText="1"/>
    </xf>
    <xf numFmtId="0" fontId="33" fillId="3" borderId="3" xfId="0" applyFont="1" applyFill="1" applyBorder="1" applyAlignment="1">
      <alignment vertical="center" wrapText="1"/>
    </xf>
    <xf numFmtId="14" fontId="33" fillId="2" borderId="4" xfId="0" applyNumberFormat="1" applyFont="1" applyFill="1" applyBorder="1" applyAlignment="1">
      <alignment horizontal="left" vertical="center" wrapText="1"/>
    </xf>
    <xf numFmtId="14" fontId="33" fillId="2" borderId="6" xfId="0" applyNumberFormat="1" applyFont="1" applyFill="1" applyBorder="1" applyAlignment="1">
      <alignment horizontal="left" vertical="center" wrapText="1"/>
    </xf>
    <xf numFmtId="14" fontId="33" fillId="2" borderId="5" xfId="0" applyNumberFormat="1" applyFont="1" applyFill="1" applyBorder="1" applyAlignment="1">
      <alignment horizontal="left" vertical="center" wrapText="1"/>
    </xf>
    <xf numFmtId="0" fontId="33" fillId="7" borderId="38" xfId="0" applyFont="1" applyFill="1" applyBorder="1" applyAlignment="1">
      <alignment horizontal="left" vertical="top" wrapText="1"/>
    </xf>
    <xf numFmtId="0" fontId="33" fillId="7" borderId="27" xfId="0" applyFont="1" applyFill="1" applyBorder="1" applyAlignment="1">
      <alignment horizontal="left" vertical="top" wrapText="1"/>
    </xf>
    <xf numFmtId="0" fontId="33" fillId="7" borderId="28" xfId="0" applyFont="1" applyFill="1" applyBorder="1" applyAlignment="1">
      <alignment horizontal="left" vertical="top" wrapText="1"/>
    </xf>
    <xf numFmtId="0" fontId="34" fillId="3" borderId="1" xfId="0" applyFont="1" applyFill="1" applyBorder="1" applyAlignment="1">
      <alignment vertical="center" wrapText="1"/>
    </xf>
    <xf numFmtId="0" fontId="34" fillId="3" borderId="3" xfId="0" applyFont="1" applyFill="1" applyBorder="1" applyAlignment="1">
      <alignment vertical="center" wrapText="1"/>
    </xf>
    <xf numFmtId="0" fontId="34" fillId="3" borderId="7" xfId="0" applyFont="1" applyFill="1" applyBorder="1" applyAlignment="1">
      <alignment horizontal="left" vertical="center" wrapText="1"/>
    </xf>
    <xf numFmtId="0" fontId="34" fillId="3" borderId="9" xfId="0" applyFont="1" applyFill="1" applyBorder="1" applyAlignment="1">
      <alignment horizontal="left" vertical="center" wrapText="1"/>
    </xf>
    <xf numFmtId="0" fontId="33" fillId="7" borderId="36" xfId="0" applyFont="1" applyFill="1" applyBorder="1" applyAlignment="1">
      <alignment horizontal="left" vertical="top" wrapText="1"/>
    </xf>
    <xf numFmtId="0" fontId="33" fillId="7" borderId="24" xfId="0" applyFont="1" applyFill="1" applyBorder="1" applyAlignment="1">
      <alignment horizontal="left" vertical="top" wrapText="1"/>
    </xf>
    <xf numFmtId="0" fontId="33" fillId="7" borderId="25" xfId="0" applyFont="1" applyFill="1" applyBorder="1" applyAlignment="1">
      <alignment horizontal="left" vertical="top" wrapText="1"/>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33" fillId="2" borderId="1"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33" fillId="3" borderId="1" xfId="0" applyFont="1" applyFill="1" applyBorder="1" applyAlignment="1">
      <alignment horizontal="left" vertical="center" wrapText="1"/>
    </xf>
    <xf numFmtId="0" fontId="33" fillId="3" borderId="3" xfId="0" applyFont="1" applyFill="1" applyBorder="1" applyAlignment="1">
      <alignment horizontal="left" vertical="center" wrapText="1"/>
    </xf>
    <xf numFmtId="14" fontId="33" fillId="2" borderId="1" xfId="0" applyNumberFormat="1" applyFont="1" applyFill="1" applyBorder="1" applyAlignment="1">
      <alignment horizontal="left" vertical="center" wrapText="1"/>
    </xf>
    <xf numFmtId="14" fontId="33" fillId="2" borderId="2" xfId="0" applyNumberFormat="1" applyFont="1" applyFill="1" applyBorder="1" applyAlignment="1">
      <alignment horizontal="left" vertical="center" wrapText="1"/>
    </xf>
    <xf numFmtId="14" fontId="33" fillId="2" borderId="3" xfId="0" applyNumberFormat="1" applyFont="1" applyFill="1" applyBorder="1" applyAlignment="1">
      <alignment horizontal="left" vertical="center" wrapText="1"/>
    </xf>
    <xf numFmtId="0" fontId="32" fillId="5" borderId="4" xfId="0" applyFont="1" applyFill="1" applyBorder="1" applyAlignment="1">
      <alignment vertical="center" wrapText="1"/>
    </xf>
    <xf numFmtId="0" fontId="33" fillId="2" borderId="1" xfId="0" applyFont="1" applyFill="1" applyBorder="1" applyAlignment="1">
      <alignment horizontal="left" vertical="top" wrapText="1"/>
    </xf>
    <xf numFmtId="0" fontId="33" fillId="2" borderId="2" xfId="0" applyFont="1" applyFill="1" applyBorder="1" applyAlignment="1">
      <alignment horizontal="left" vertical="top" wrapText="1"/>
    </xf>
    <xf numFmtId="0" fontId="34" fillId="3" borderId="10" xfId="0" applyFont="1" applyFill="1" applyBorder="1" applyAlignment="1">
      <alignment vertical="center" wrapText="1"/>
    </xf>
    <xf numFmtId="0" fontId="0" fillId="0" borderId="11" xfId="0" applyBorder="1" applyAlignment="1">
      <alignment vertical="center" wrapText="1"/>
    </xf>
    <xf numFmtId="0" fontId="33" fillId="3" borderId="2" xfId="0" applyFont="1" applyFill="1" applyBorder="1" applyAlignment="1">
      <alignment vertical="center" wrapText="1"/>
    </xf>
    <xf numFmtId="0" fontId="33" fillId="2" borderId="7" xfId="0" applyFont="1" applyFill="1" applyBorder="1" applyAlignment="1">
      <alignment horizontal="left" vertical="top" wrapText="1"/>
    </xf>
    <xf numFmtId="0" fontId="33" fillId="2" borderId="9" xfId="0" applyFont="1" applyFill="1" applyBorder="1" applyAlignment="1">
      <alignment horizontal="left" vertical="top" wrapText="1"/>
    </xf>
    <xf numFmtId="0" fontId="33" fillId="2" borderId="8" xfId="0" applyFont="1" applyFill="1" applyBorder="1" applyAlignment="1">
      <alignment horizontal="left" vertical="top" wrapText="1"/>
    </xf>
    <xf numFmtId="0" fontId="33" fillId="3" borderId="5" xfId="0" applyFont="1" applyFill="1" applyBorder="1" applyAlignment="1">
      <alignment horizontal="left" vertical="center" wrapText="1"/>
    </xf>
    <xf numFmtId="0" fontId="33" fillId="0" borderId="7" xfId="0" applyFont="1" applyBorder="1" applyAlignment="1">
      <alignment horizontal="left" vertical="center" wrapText="1"/>
    </xf>
    <xf numFmtId="0" fontId="33" fillId="0" borderId="44" xfId="0" applyFont="1" applyBorder="1" applyAlignment="1">
      <alignment horizontal="left" vertical="center" wrapText="1"/>
    </xf>
    <xf numFmtId="0" fontId="34" fillId="7" borderId="55" xfId="0" applyFont="1" applyFill="1" applyBorder="1" applyAlignment="1">
      <alignment horizontal="left" vertical="center" wrapText="1"/>
    </xf>
    <xf numFmtId="0" fontId="32" fillId="5" borderId="10" xfId="0" applyFont="1" applyFill="1" applyBorder="1" applyAlignment="1">
      <alignment vertical="center" wrapText="1"/>
    </xf>
    <xf numFmtId="0" fontId="32" fillId="5" borderId="0" xfId="0" applyFont="1" applyFill="1" applyBorder="1" applyAlignment="1">
      <alignment vertical="center" wrapText="1"/>
    </xf>
    <xf numFmtId="0" fontId="32" fillId="5" borderId="11" xfId="0" applyFont="1" applyFill="1" applyBorder="1" applyAlignment="1">
      <alignment vertical="center" wrapText="1"/>
    </xf>
    <xf numFmtId="0" fontId="33" fillId="3" borderId="53" xfId="0" applyFont="1" applyFill="1" applyBorder="1" applyAlignment="1">
      <alignment horizontal="left" vertical="center" wrapText="1"/>
    </xf>
    <xf numFmtId="0" fontId="33" fillId="2" borderId="41" xfId="0" applyFont="1" applyFill="1" applyBorder="1" applyAlignment="1">
      <alignment horizontal="left" vertical="top" wrapText="1"/>
    </xf>
    <xf numFmtId="0" fontId="33" fillId="2" borderId="54" xfId="0" applyFont="1" applyFill="1" applyBorder="1" applyAlignment="1">
      <alignment horizontal="left" vertical="top" wrapText="1"/>
    </xf>
    <xf numFmtId="0" fontId="33" fillId="2" borderId="52" xfId="0" applyFont="1" applyFill="1" applyBorder="1" applyAlignment="1">
      <alignment horizontal="left" vertical="top" wrapText="1"/>
    </xf>
    <xf numFmtId="0" fontId="34" fillId="7" borderId="37" xfId="0" applyFont="1" applyFill="1" applyBorder="1" applyAlignment="1">
      <alignment horizontal="left" vertical="center" wrapText="1"/>
    </xf>
    <xf numFmtId="0" fontId="34" fillId="7" borderId="12" xfId="0" applyFont="1" applyFill="1" applyBorder="1" applyAlignment="1">
      <alignment horizontal="left" vertical="center" wrapText="1"/>
    </xf>
    <xf numFmtId="0" fontId="34" fillId="7" borderId="19" xfId="0" applyFont="1" applyFill="1" applyBorder="1" applyAlignment="1">
      <alignment horizontal="left" vertical="center" wrapText="1"/>
    </xf>
    <xf numFmtId="0" fontId="33" fillId="2" borderId="3" xfId="0" applyFont="1" applyFill="1" applyBorder="1" applyAlignment="1">
      <alignment horizontal="left" vertical="top" wrapText="1"/>
    </xf>
  </cellXfs>
  <cellStyles count="3">
    <cellStyle name="Comma" xfId="2" builtinId="3"/>
    <cellStyle name="Hyperlink" xfId="1" builtinId="8"/>
    <cellStyle name="Normal" xfId="0" builtinId="0"/>
  </cellStyles>
  <dxfs count="688">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4" tint="0.39994506668294322"/>
      </font>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4" tint="0.39994506668294322"/>
      </font>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colors>
    <mruColors>
      <color rgb="FFB4C6E7"/>
      <color rgb="FF73FD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5</xdr:col>
      <xdr:colOff>25929</xdr:colOff>
      <xdr:row>23</xdr:row>
      <xdr:rowOff>42722</xdr:rowOff>
    </xdr:from>
    <xdr:to>
      <xdr:col>5</xdr:col>
      <xdr:colOff>1312334</xdr:colOff>
      <xdr:row>33</xdr:row>
      <xdr:rowOff>148166</xdr:rowOff>
    </xdr:to>
    <xdr:pic>
      <xdr:nvPicPr>
        <xdr:cNvPr id="3" name="Picture 2" descr="elated image">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28" b="1470"/>
        <a:stretch/>
      </xdr:blipFill>
      <xdr:spPr bwMode="auto">
        <a:xfrm>
          <a:off x="9540346" y="4032639"/>
          <a:ext cx="1286405" cy="2116277"/>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133350</xdr:colOff>
          <xdr:row>0</xdr:row>
          <xdr:rowOff>76200</xdr:rowOff>
        </xdr:from>
        <xdr:to>
          <xdr:col>13</xdr:col>
          <xdr:colOff>571500</xdr:colOff>
          <xdr:row>1</xdr:row>
          <xdr:rowOff>171450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PasteValues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214312</xdr:rowOff>
    </xdr:from>
    <xdr:to>
      <xdr:col>10</xdr:col>
      <xdr:colOff>28575</xdr:colOff>
      <xdr:row>20</xdr:row>
      <xdr:rowOff>73818</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5875"/>
          <a:ext cx="8184356" cy="2919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552450</xdr:colOff>
      <xdr:row>4</xdr:row>
      <xdr:rowOff>9525</xdr:rowOff>
    </xdr:from>
    <xdr:to>
      <xdr:col>8</xdr:col>
      <xdr:colOff>184439</xdr:colOff>
      <xdr:row>71</xdr:row>
      <xdr:rowOff>89838</xdr:rowOff>
    </xdr:to>
    <xdr:pic>
      <xdr:nvPicPr>
        <xdr:cNvPr id="2" name="Picture 1" descr="https://www.geothermie.nl/images/info.pn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847725"/>
          <a:ext cx="4432589" cy="1284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702468</xdr:colOff>
      <xdr:row>0</xdr:row>
      <xdr:rowOff>0</xdr:rowOff>
    </xdr:from>
    <xdr:to>
      <xdr:col>14</xdr:col>
      <xdr:colOff>549925</xdr:colOff>
      <xdr:row>1</xdr:row>
      <xdr:rowOff>202405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7297" b="21377"/>
        <a:stretch/>
      </xdr:blipFill>
      <xdr:spPr>
        <a:xfrm>
          <a:off x="11346656" y="0"/>
          <a:ext cx="1514332" cy="464343"/>
        </a:xfrm>
        <a:prstGeom prst="rect">
          <a:avLst/>
        </a:prstGeom>
      </xdr:spPr>
    </xdr:pic>
    <xdr:clientData/>
  </xdr:twoCellAnchor>
  <xdr:twoCellAnchor editAs="oneCell">
    <xdr:from>
      <xdr:col>13</xdr:col>
      <xdr:colOff>365761</xdr:colOff>
      <xdr:row>9</xdr:row>
      <xdr:rowOff>26198</xdr:rowOff>
    </xdr:from>
    <xdr:to>
      <xdr:col>14</xdr:col>
      <xdr:colOff>550199</xdr:colOff>
      <xdr:row>9</xdr:row>
      <xdr:rowOff>3233088</xdr:rowOff>
    </xdr:to>
    <xdr:pic>
      <xdr:nvPicPr>
        <xdr:cNvPr id="3" name="Picture 2" descr="https://www.geothermie.nl/images/info.pn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87201" y="2136938"/>
          <a:ext cx="1022638" cy="3206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ams/P060.33948/TeamDocuments/Team/Submit%20Factsheets%202021/Completed/Technology%20Factsheet%20Hydrogen%20boiler%20Services%20final_ESD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List"/>
      <sheetName val="Data input"/>
      <sheetName val="ESDL"/>
      <sheetName val="ESDLvalues"/>
      <sheetName val="Technology Factsheet"/>
      <sheetName val="External review MW"/>
      <sheetName val="Calculations"/>
      <sheetName val="Visual representation"/>
      <sheetName val="Change log"/>
      <sheetName val="Technology Factsheet Hydrogen b"/>
    </sheetNames>
    <definedNames>
      <definedName name="PasteValues4ESD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Pupo Nogueira, L.P. (Larissa)" id="{F07F0112-6F0C-44F0-BDF3-0A353F9580CB}" userId="S::larissa.oliveira@tno.nl::c12b27a1-1886-49f1-b36d-ff70a590c65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92" dT="2021-07-19T15:19:49.35" personId="{F07F0112-6F0C-44F0-BDF3-0A353F9580CB}" id="{A139C3D3-2531-400E-B6A8-7A2F5708B757}">
    <text>It seemd you've updated the reference in the list, but not throughout the template. Please review and update.</text>
  </threadedComment>
</ThreadedComments>
</file>

<file path=xl/threadedComments/threadedComment2.xml><?xml version="1.0" encoding="utf-8"?>
<ThreadedComments xmlns="http://schemas.microsoft.com/office/spreadsheetml/2018/threadedcomments" xmlns:x="http://schemas.openxmlformats.org/spreadsheetml/2006/main">
  <threadedComment ref="C92" dT="2021-07-19T15:19:49.35" personId="{F07F0112-6F0C-44F0-BDF3-0A353F9580CB}" id="{3F660A31-78D0-4509-997A-04CEAAD567BF}">
    <text>It seemd you've updated the reference in the list, but not throughout the template. Please review and update.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ea.org/statistics/resources/unitconverte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energy.nl/en/factsheet/geothermal-heat-production-deep-1500/"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hyperlink" Target="https://www.geothermie.nl/index.php/nl/"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hyperlink" Target="https://www.geothermie.nl/index.php/nl/"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P140"/>
  <sheetViews>
    <sheetView zoomScale="80" zoomScaleNormal="80" workbookViewId="0">
      <selection activeCell="D28" sqref="D28:K28"/>
    </sheetView>
  </sheetViews>
  <sheetFormatPr defaultColWidth="11" defaultRowHeight="15.75" x14ac:dyDescent="0.25"/>
  <cols>
    <col min="1" max="1" width="11" style="1"/>
    <col min="2" max="2" width="23.875" style="1" customWidth="1"/>
    <col min="3" max="3" width="6.75" style="1" customWidth="1"/>
    <col min="4" max="4" width="79.125" style="1" customWidth="1"/>
    <col min="5" max="5" width="5.75" style="1" customWidth="1"/>
    <col min="6" max="6" width="94.875" style="1" customWidth="1"/>
    <col min="7" max="20" width="11" style="1"/>
    <col min="21" max="21" width="10.875" style="1" customWidth="1"/>
    <col min="22" max="16384" width="11" style="1"/>
  </cols>
  <sheetData>
    <row r="1" spans="1:6" ht="21" x14ac:dyDescent="0.35">
      <c r="A1" s="3" t="s">
        <v>0</v>
      </c>
    </row>
    <row r="3" spans="1:6" ht="15.75" customHeight="1" x14ac:dyDescent="0.25">
      <c r="A3" s="6" t="s">
        <v>1</v>
      </c>
      <c r="B3" s="17" t="s">
        <v>2</v>
      </c>
    </row>
    <row r="4" spans="1:6" ht="15.75" customHeight="1" x14ac:dyDescent="0.25">
      <c r="A4" s="6" t="s">
        <v>1</v>
      </c>
      <c r="B4" s="17" t="s">
        <v>3</v>
      </c>
    </row>
    <row r="5" spans="1:6" ht="15.75" customHeight="1" x14ac:dyDescent="0.25">
      <c r="A5" s="6" t="s">
        <v>1</v>
      </c>
      <c r="B5" s="17" t="s">
        <v>4</v>
      </c>
      <c r="F5" s="40"/>
    </row>
    <row r="6" spans="1:6" ht="15.75" customHeight="1" x14ac:dyDescent="0.3">
      <c r="A6" s="6" t="s">
        <v>1</v>
      </c>
      <c r="B6" s="17" t="s">
        <v>5</v>
      </c>
      <c r="C6" s="4"/>
    </row>
    <row r="7" spans="1:6" ht="15.75" customHeight="1" x14ac:dyDescent="0.3">
      <c r="A7" s="6" t="s">
        <v>1</v>
      </c>
      <c r="B7" s="17" t="s">
        <v>6</v>
      </c>
      <c r="C7" s="4"/>
    </row>
    <row r="8" spans="1:6" ht="15.75" customHeight="1" x14ac:dyDescent="0.3">
      <c r="A8" s="6" t="s">
        <v>1</v>
      </c>
      <c r="B8" s="17" t="s">
        <v>7</v>
      </c>
      <c r="C8" s="4"/>
    </row>
    <row r="9" spans="1:6" ht="15.75" customHeight="1" x14ac:dyDescent="0.3">
      <c r="A9" s="6"/>
      <c r="B9" s="125"/>
      <c r="C9" s="4"/>
    </row>
    <row r="10" spans="1:6" ht="15.75" customHeight="1" x14ac:dyDescent="0.3">
      <c r="A10" s="126" t="s">
        <v>8</v>
      </c>
      <c r="B10" s="17" t="s">
        <v>9</v>
      </c>
      <c r="C10" s="4"/>
    </row>
    <row r="11" spans="1:6" ht="15.75" customHeight="1" x14ac:dyDescent="0.3">
      <c r="A11" s="126" t="s">
        <v>8</v>
      </c>
      <c r="B11" s="17" t="s">
        <v>10</v>
      </c>
      <c r="C11" s="4"/>
    </row>
    <row r="12" spans="1:6" ht="15.75" customHeight="1" x14ac:dyDescent="0.3">
      <c r="A12" s="126" t="s">
        <v>8</v>
      </c>
      <c r="B12" s="17" t="s">
        <v>11</v>
      </c>
      <c r="C12" s="4"/>
    </row>
    <row r="13" spans="1:6" ht="15.75" customHeight="1" x14ac:dyDescent="0.3">
      <c r="A13" s="126" t="s">
        <v>8</v>
      </c>
      <c r="B13" s="17" t="s">
        <v>12</v>
      </c>
      <c r="C13" s="4"/>
    </row>
    <row r="14" spans="1:6" ht="15.75" customHeight="1" x14ac:dyDescent="0.3">
      <c r="A14" s="126" t="s">
        <v>8</v>
      </c>
      <c r="B14" s="17" t="s">
        <v>13</v>
      </c>
      <c r="C14" s="4"/>
    </row>
    <row r="15" spans="1:6" ht="15.75" customHeight="1" x14ac:dyDescent="0.3">
      <c r="A15" s="126" t="s">
        <v>8</v>
      </c>
      <c r="B15" s="17" t="s">
        <v>14</v>
      </c>
      <c r="C15" s="4"/>
    </row>
    <row r="16" spans="1:6" ht="21" x14ac:dyDescent="0.35">
      <c r="A16" s="3"/>
      <c r="B16" s="2"/>
      <c r="C16" s="2"/>
    </row>
    <row r="17" spans="2:6" ht="18.75" x14ac:dyDescent="0.3">
      <c r="B17" s="55" t="s">
        <v>15</v>
      </c>
      <c r="C17" s="239" t="s">
        <v>16</v>
      </c>
      <c r="D17" s="240"/>
      <c r="E17" s="239" t="s">
        <v>17</v>
      </c>
      <c r="F17" s="241"/>
    </row>
    <row r="18" spans="2:6" ht="15.75" customHeight="1" x14ac:dyDescent="0.25">
      <c r="B18" s="217" t="s">
        <v>18</v>
      </c>
      <c r="C18" s="37" t="s">
        <v>1</v>
      </c>
      <c r="D18" s="38" t="s">
        <v>19</v>
      </c>
      <c r="E18" s="23" t="s">
        <v>1</v>
      </c>
      <c r="F18" s="26" t="s">
        <v>20</v>
      </c>
    </row>
    <row r="19" spans="2:6" ht="15.75" customHeight="1" x14ac:dyDescent="0.25">
      <c r="B19" s="218"/>
      <c r="C19" s="47"/>
      <c r="D19" s="31"/>
      <c r="E19" s="48" t="s">
        <v>1</v>
      </c>
      <c r="F19" s="54" t="s">
        <v>21</v>
      </c>
    </row>
    <row r="20" spans="2:6" ht="15.75" customHeight="1" x14ac:dyDescent="0.25">
      <c r="B20" s="22" t="s">
        <v>22</v>
      </c>
      <c r="C20" s="12" t="s">
        <v>1</v>
      </c>
      <c r="D20" s="41" t="s">
        <v>23</v>
      </c>
      <c r="E20" s="87"/>
      <c r="F20" s="84"/>
    </row>
    <row r="21" spans="2:6" ht="31.5" x14ac:dyDescent="0.25">
      <c r="B21" s="162" t="s">
        <v>24</v>
      </c>
      <c r="C21" s="37" t="s">
        <v>1</v>
      </c>
      <c r="D21" s="45" t="s">
        <v>25</v>
      </c>
      <c r="E21" s="35" t="s">
        <v>1</v>
      </c>
      <c r="F21" s="88" t="s">
        <v>26</v>
      </c>
    </row>
    <row r="22" spans="2:6" ht="15.75" customHeight="1" x14ac:dyDescent="0.25">
      <c r="B22" s="160" t="s">
        <v>27</v>
      </c>
      <c r="C22" s="37" t="s">
        <v>1</v>
      </c>
      <c r="D22" s="42" t="s">
        <v>28</v>
      </c>
      <c r="E22" s="37" t="s">
        <v>1</v>
      </c>
      <c r="F22" s="19" t="s">
        <v>433</v>
      </c>
    </row>
    <row r="23" spans="2:6" ht="15.75" customHeight="1" x14ac:dyDescent="0.25">
      <c r="B23" s="225" t="s">
        <v>29</v>
      </c>
      <c r="C23" s="12" t="s">
        <v>1</v>
      </c>
      <c r="D23" s="42" t="s">
        <v>434</v>
      </c>
      <c r="E23" s="37" t="s">
        <v>1</v>
      </c>
      <c r="F23" s="19" t="s">
        <v>30</v>
      </c>
    </row>
    <row r="24" spans="2:6" ht="15.75" customHeight="1" x14ac:dyDescent="0.25">
      <c r="B24" s="226"/>
      <c r="C24" s="13"/>
      <c r="D24" s="43"/>
      <c r="E24" s="46"/>
      <c r="F24" s="29"/>
    </row>
    <row r="25" spans="2:6" ht="15.75" customHeight="1" x14ac:dyDescent="0.25">
      <c r="B25" s="226"/>
      <c r="C25" s="21"/>
      <c r="D25" s="44" t="s">
        <v>31</v>
      </c>
      <c r="E25" s="46"/>
      <c r="F25" s="29"/>
    </row>
    <row r="26" spans="2:6" ht="15.75" customHeight="1" x14ac:dyDescent="0.25">
      <c r="B26" s="226"/>
      <c r="C26" s="21" t="s">
        <v>32</v>
      </c>
      <c r="D26" s="43" t="s">
        <v>33</v>
      </c>
      <c r="E26" s="46"/>
      <c r="F26" s="29"/>
    </row>
    <row r="27" spans="2:6" ht="15.75" customHeight="1" x14ac:dyDescent="0.25">
      <c r="B27" s="226"/>
      <c r="C27" s="21" t="s">
        <v>34</v>
      </c>
      <c r="D27" s="43" t="s">
        <v>35</v>
      </c>
      <c r="E27" s="46"/>
      <c r="F27" s="29"/>
    </row>
    <row r="28" spans="2:6" ht="15.75" customHeight="1" x14ac:dyDescent="0.25">
      <c r="B28" s="226"/>
      <c r="C28" s="21" t="s">
        <v>36</v>
      </c>
      <c r="D28" s="43" t="s">
        <v>37</v>
      </c>
      <c r="E28" s="46"/>
      <c r="F28" s="29"/>
    </row>
    <row r="29" spans="2:6" ht="15.75" customHeight="1" x14ac:dyDescent="0.25">
      <c r="B29" s="226"/>
      <c r="C29" s="21" t="s">
        <v>38</v>
      </c>
      <c r="D29" s="43" t="s">
        <v>39</v>
      </c>
      <c r="E29" s="46"/>
      <c r="F29" s="29"/>
    </row>
    <row r="30" spans="2:6" ht="15.75" customHeight="1" x14ac:dyDescent="0.25">
      <c r="B30" s="226"/>
      <c r="C30" s="21" t="s">
        <v>40</v>
      </c>
      <c r="D30" s="43" t="s">
        <v>41</v>
      </c>
      <c r="E30" s="46"/>
      <c r="F30" s="29"/>
    </row>
    <row r="31" spans="2:6" ht="15.75" customHeight="1" x14ac:dyDescent="0.25">
      <c r="B31" s="226"/>
      <c r="C31" s="21" t="s">
        <v>42</v>
      </c>
      <c r="D31" s="43" t="s">
        <v>43</v>
      </c>
      <c r="E31" s="46"/>
      <c r="F31" s="29"/>
    </row>
    <row r="32" spans="2:6" ht="15.75" customHeight="1" x14ac:dyDescent="0.25">
      <c r="B32" s="226"/>
      <c r="C32" s="21" t="s">
        <v>44</v>
      </c>
      <c r="D32" s="43" t="s">
        <v>45</v>
      </c>
      <c r="E32" s="46"/>
      <c r="F32" s="29"/>
    </row>
    <row r="33" spans="2:16" ht="15.75" customHeight="1" x14ac:dyDescent="0.25">
      <c r="B33" s="226"/>
      <c r="C33" s="21" t="s">
        <v>46</v>
      </c>
      <c r="D33" s="43" t="s">
        <v>47</v>
      </c>
      <c r="E33" s="46"/>
      <c r="F33" s="29"/>
    </row>
    <row r="34" spans="2:16" ht="15.75" customHeight="1" x14ac:dyDescent="0.25">
      <c r="B34" s="226"/>
      <c r="C34" s="21" t="s">
        <v>48</v>
      </c>
      <c r="D34" s="43" t="s">
        <v>49</v>
      </c>
      <c r="E34" s="47"/>
      <c r="F34" s="31"/>
    </row>
    <row r="35" spans="2:16" ht="18.75" x14ac:dyDescent="0.25">
      <c r="B35" s="231" t="s">
        <v>50</v>
      </c>
      <c r="C35" s="232"/>
      <c r="D35" s="232"/>
      <c r="E35" s="232"/>
      <c r="F35" s="242"/>
      <c r="G35" s="8"/>
      <c r="H35" s="8"/>
      <c r="I35" s="8"/>
      <c r="J35" s="8"/>
      <c r="K35" s="8"/>
      <c r="L35" s="8"/>
      <c r="M35" s="8"/>
      <c r="N35" s="8"/>
      <c r="O35" s="8"/>
      <c r="P35" s="8"/>
    </row>
    <row r="36" spans="2:16" ht="31.5" x14ac:dyDescent="0.25">
      <c r="B36" s="223" t="s">
        <v>51</v>
      </c>
      <c r="C36" s="37" t="s">
        <v>1</v>
      </c>
      <c r="D36" s="38" t="s">
        <v>52</v>
      </c>
      <c r="E36" s="37" t="s">
        <v>1</v>
      </c>
      <c r="F36" s="19" t="s">
        <v>53</v>
      </c>
    </row>
    <row r="37" spans="2:16" ht="33.75" customHeight="1" x14ac:dyDescent="0.25">
      <c r="B37" s="224"/>
      <c r="C37" s="48"/>
      <c r="D37" s="89"/>
      <c r="E37" s="23" t="s">
        <v>1</v>
      </c>
      <c r="F37" s="20" t="s">
        <v>54</v>
      </c>
    </row>
    <row r="38" spans="2:16" x14ac:dyDescent="0.25">
      <c r="B38" s="243" t="s">
        <v>55</v>
      </c>
      <c r="C38" s="37" t="s">
        <v>1</v>
      </c>
      <c r="D38" s="45" t="s">
        <v>56</v>
      </c>
      <c r="E38" s="37" t="s">
        <v>1</v>
      </c>
      <c r="F38" s="9" t="s">
        <v>57</v>
      </c>
    </row>
    <row r="39" spans="2:16" ht="31.5" x14ac:dyDescent="0.25">
      <c r="B39" s="244"/>
      <c r="C39" s="13"/>
      <c r="D39" s="102"/>
      <c r="E39" s="23" t="s">
        <v>1</v>
      </c>
      <c r="F39" s="10" t="s">
        <v>58</v>
      </c>
    </row>
    <row r="40" spans="2:16" x14ac:dyDescent="0.25">
      <c r="B40" s="159"/>
      <c r="C40" s="13"/>
      <c r="D40" s="102"/>
      <c r="E40" s="14" t="s">
        <v>1</v>
      </c>
      <c r="F40" s="11" t="s">
        <v>59</v>
      </c>
    </row>
    <row r="41" spans="2:16" ht="31.5" x14ac:dyDescent="0.25">
      <c r="B41" s="158" t="s">
        <v>60</v>
      </c>
      <c r="C41" s="37" t="s">
        <v>1</v>
      </c>
      <c r="D41" s="38" t="s">
        <v>61</v>
      </c>
      <c r="E41" s="23" t="s">
        <v>1</v>
      </c>
      <c r="F41" s="10" t="s">
        <v>62</v>
      </c>
    </row>
    <row r="42" spans="2:16" x14ac:dyDescent="0.25">
      <c r="B42" s="159"/>
      <c r="C42" s="48"/>
      <c r="D42" s="52"/>
      <c r="E42" s="14" t="s">
        <v>1</v>
      </c>
      <c r="F42" s="11" t="s">
        <v>63</v>
      </c>
    </row>
    <row r="43" spans="2:16" ht="15.75" customHeight="1" x14ac:dyDescent="0.25">
      <c r="B43" s="243" t="s">
        <v>64</v>
      </c>
      <c r="C43" s="13" t="s">
        <v>1</v>
      </c>
      <c r="D43" s="40" t="s">
        <v>435</v>
      </c>
      <c r="E43" s="13" t="s">
        <v>1</v>
      </c>
      <c r="F43" s="91" t="s">
        <v>65</v>
      </c>
    </row>
    <row r="44" spans="2:16" ht="31.5" x14ac:dyDescent="0.25">
      <c r="B44" s="244"/>
      <c r="C44" s="23" t="s">
        <v>1</v>
      </c>
      <c r="D44" s="86" t="s">
        <v>436</v>
      </c>
      <c r="E44" s="23" t="s">
        <v>1</v>
      </c>
      <c r="F44" s="10" t="s">
        <v>66</v>
      </c>
    </row>
    <row r="45" spans="2:16" ht="34.5" customHeight="1" x14ac:dyDescent="0.25">
      <c r="B45" s="22" t="s">
        <v>67</v>
      </c>
      <c r="C45" s="35" t="s">
        <v>1</v>
      </c>
      <c r="D45" s="85" t="s">
        <v>68</v>
      </c>
      <c r="E45" s="35" t="s">
        <v>1</v>
      </c>
      <c r="F45" s="84" t="s">
        <v>69</v>
      </c>
    </row>
    <row r="46" spans="2:16" ht="31.5" x14ac:dyDescent="0.25">
      <c r="B46" s="51" t="s">
        <v>70</v>
      </c>
      <c r="C46" s="37" t="s">
        <v>1</v>
      </c>
      <c r="D46" s="45" t="s">
        <v>71</v>
      </c>
      <c r="E46" s="116"/>
      <c r="F46" s="117"/>
    </row>
    <row r="47" spans="2:16" x14ac:dyDescent="0.25">
      <c r="B47" s="118" t="s">
        <v>72</v>
      </c>
      <c r="C47" s="12" t="s">
        <v>1</v>
      </c>
      <c r="D47" s="45" t="s">
        <v>73</v>
      </c>
      <c r="E47" s="37" t="s">
        <v>1</v>
      </c>
      <c r="F47" s="9" t="s">
        <v>74</v>
      </c>
    </row>
    <row r="48" spans="2:16" x14ac:dyDescent="0.25">
      <c r="B48" s="217" t="s">
        <v>75</v>
      </c>
      <c r="C48" s="37" t="s">
        <v>1</v>
      </c>
      <c r="D48" s="45" t="s">
        <v>76</v>
      </c>
      <c r="E48" s="37" t="s">
        <v>1</v>
      </c>
      <c r="F48" s="9" t="s">
        <v>77</v>
      </c>
    </row>
    <row r="49" spans="2:16" x14ac:dyDescent="0.25">
      <c r="B49" s="218"/>
      <c r="C49" s="48" t="s">
        <v>1</v>
      </c>
      <c r="D49" s="115" t="s">
        <v>78</v>
      </c>
      <c r="E49" s="48" t="s">
        <v>1</v>
      </c>
      <c r="F49" s="120" t="s">
        <v>79</v>
      </c>
    </row>
    <row r="50" spans="2:16" ht="31.5" x14ac:dyDescent="0.25">
      <c r="B50" s="22" t="s">
        <v>80</v>
      </c>
      <c r="C50" s="23" t="s">
        <v>1</v>
      </c>
      <c r="D50" s="40" t="s">
        <v>81</v>
      </c>
      <c r="E50" s="47"/>
      <c r="F50" s="31"/>
    </row>
    <row r="51" spans="2:16" ht="243" customHeight="1" x14ac:dyDescent="0.25">
      <c r="B51" s="51" t="s">
        <v>82</v>
      </c>
      <c r="C51" s="37" t="s">
        <v>1</v>
      </c>
      <c r="D51" s="45" t="s">
        <v>437</v>
      </c>
      <c r="E51" s="46"/>
      <c r="F51" s="29"/>
      <c r="G51" s="106"/>
    </row>
    <row r="52" spans="2:16" ht="15.75" customHeight="1" x14ac:dyDescent="0.25">
      <c r="B52" s="158" t="s">
        <v>83</v>
      </c>
      <c r="C52" s="12" t="s">
        <v>1</v>
      </c>
      <c r="D52" s="41" t="s">
        <v>84</v>
      </c>
      <c r="E52" s="15" t="s">
        <v>1</v>
      </c>
      <c r="F52" s="49" t="s">
        <v>85</v>
      </c>
      <c r="G52" s="106"/>
    </row>
    <row r="53" spans="2:16" ht="18.75" x14ac:dyDescent="0.25">
      <c r="B53" s="228" t="s">
        <v>86</v>
      </c>
      <c r="C53" s="229"/>
      <c r="D53" s="229"/>
      <c r="E53" s="229"/>
      <c r="F53" s="230"/>
      <c r="G53" s="8"/>
      <c r="H53" s="8"/>
      <c r="I53" s="8"/>
      <c r="J53" s="8"/>
      <c r="K53" s="8"/>
      <c r="L53" s="8"/>
      <c r="M53" s="8"/>
      <c r="N53" s="8"/>
      <c r="O53" s="8"/>
      <c r="P53" s="8"/>
    </row>
    <row r="54" spans="2:16" ht="31.5" x14ac:dyDescent="0.25">
      <c r="B54" s="96" t="s">
        <v>87</v>
      </c>
      <c r="C54" s="37" t="s">
        <v>1</v>
      </c>
      <c r="D54" s="45" t="s">
        <v>438</v>
      </c>
      <c r="E54" s="35" t="s">
        <v>1</v>
      </c>
      <c r="F54" s="95" t="s">
        <v>439</v>
      </c>
    </row>
    <row r="55" spans="2:16" ht="31.5" x14ac:dyDescent="0.25">
      <c r="B55" s="223" t="s">
        <v>88</v>
      </c>
      <c r="C55" s="37" t="s">
        <v>1</v>
      </c>
      <c r="D55" s="24" t="s">
        <v>440</v>
      </c>
      <c r="E55" s="53" t="s">
        <v>1</v>
      </c>
      <c r="F55" s="38" t="s">
        <v>441</v>
      </c>
    </row>
    <row r="56" spans="2:16" ht="15.75" customHeight="1" x14ac:dyDescent="0.25">
      <c r="B56" s="224"/>
      <c r="C56" s="23" t="s">
        <v>1</v>
      </c>
      <c r="D56" s="219" t="s">
        <v>89</v>
      </c>
      <c r="E56" s="121" t="s">
        <v>1</v>
      </c>
      <c r="F56" s="1" t="s">
        <v>90</v>
      </c>
    </row>
    <row r="57" spans="2:16" ht="33" customHeight="1" x14ac:dyDescent="0.25">
      <c r="B57" s="161"/>
      <c r="C57" s="48"/>
      <c r="D57" s="220"/>
      <c r="E57" s="121" t="s">
        <v>1</v>
      </c>
      <c r="F57" s="119" t="s">
        <v>91</v>
      </c>
    </row>
    <row r="58" spans="2:16" ht="15.75" customHeight="1" x14ac:dyDescent="0.25">
      <c r="B58" s="225" t="s">
        <v>92</v>
      </c>
      <c r="C58" s="13" t="s">
        <v>1</v>
      </c>
      <c r="D58" s="233" t="s">
        <v>93</v>
      </c>
      <c r="E58" s="37" t="s">
        <v>1</v>
      </c>
      <c r="F58" s="9" t="s">
        <v>94</v>
      </c>
    </row>
    <row r="59" spans="2:16" x14ac:dyDescent="0.25">
      <c r="B59" s="226"/>
      <c r="D59" s="233"/>
      <c r="E59" s="13" t="s">
        <v>1</v>
      </c>
      <c r="F59" s="10" t="s">
        <v>95</v>
      </c>
    </row>
    <row r="60" spans="2:16" x14ac:dyDescent="0.25">
      <c r="B60" s="227"/>
      <c r="E60" s="47"/>
      <c r="F60" s="31"/>
    </row>
    <row r="61" spans="2:16" ht="31.5" x14ac:dyDescent="0.25">
      <c r="B61" s="160" t="s">
        <v>96</v>
      </c>
      <c r="C61" s="37" t="s">
        <v>1</v>
      </c>
      <c r="D61" s="45" t="s">
        <v>97</v>
      </c>
      <c r="E61" s="37" t="s">
        <v>1</v>
      </c>
      <c r="F61" s="38" t="s">
        <v>95</v>
      </c>
    </row>
    <row r="62" spans="2:16" ht="31.5" x14ac:dyDescent="0.25">
      <c r="B62" s="160" t="s">
        <v>98</v>
      </c>
      <c r="C62" s="35" t="s">
        <v>1</v>
      </c>
      <c r="D62" s="88" t="s">
        <v>99</v>
      </c>
      <c r="E62" s="15" t="s">
        <v>1</v>
      </c>
      <c r="F62" s="49" t="s">
        <v>95</v>
      </c>
    </row>
    <row r="63" spans="2:16" ht="18.75" x14ac:dyDescent="0.25">
      <c r="B63" s="231" t="s">
        <v>100</v>
      </c>
      <c r="C63" s="232"/>
      <c r="D63" s="232"/>
      <c r="E63" s="232"/>
      <c r="F63" s="242"/>
      <c r="G63" s="8"/>
      <c r="H63" s="8"/>
      <c r="I63" s="8"/>
      <c r="J63" s="8"/>
      <c r="K63" s="8"/>
      <c r="L63" s="8"/>
      <c r="M63" s="8"/>
      <c r="N63" s="8"/>
      <c r="O63" s="8"/>
      <c r="P63" s="8"/>
    </row>
    <row r="64" spans="2:16" ht="31.5" x14ac:dyDescent="0.25">
      <c r="B64" s="224" t="s">
        <v>101</v>
      </c>
      <c r="C64" s="23" t="s">
        <v>1</v>
      </c>
      <c r="D64" s="43" t="s">
        <v>102</v>
      </c>
      <c r="E64" s="23" t="s">
        <v>1</v>
      </c>
      <c r="F64" s="99" t="s">
        <v>103</v>
      </c>
      <c r="H64" s="97"/>
    </row>
    <row r="65" spans="2:16" ht="63" x14ac:dyDescent="0.25">
      <c r="B65" s="224"/>
      <c r="C65" s="23" t="s">
        <v>1</v>
      </c>
      <c r="D65" s="43" t="s">
        <v>104</v>
      </c>
      <c r="E65" s="23" t="s">
        <v>1</v>
      </c>
      <c r="F65" s="99" t="s">
        <v>442</v>
      </c>
      <c r="H65" s="98"/>
    </row>
    <row r="66" spans="2:16" ht="31.5" x14ac:dyDescent="0.25">
      <c r="B66" s="224"/>
      <c r="C66" s="23"/>
      <c r="E66" s="48" t="s">
        <v>1</v>
      </c>
      <c r="F66" s="18" t="s">
        <v>443</v>
      </c>
    </row>
    <row r="67" spans="2:16" ht="18.75" x14ac:dyDescent="0.25">
      <c r="B67" s="231" t="s">
        <v>105</v>
      </c>
      <c r="C67" s="232"/>
      <c r="D67" s="232"/>
      <c r="E67" s="232"/>
      <c r="F67" s="242"/>
      <c r="G67" s="8"/>
      <c r="H67" s="8"/>
      <c r="I67" s="8"/>
      <c r="J67" s="8"/>
      <c r="K67" s="8"/>
      <c r="L67" s="8"/>
      <c r="M67" s="8"/>
      <c r="N67" s="8"/>
      <c r="O67" s="8"/>
      <c r="P67" s="8"/>
    </row>
    <row r="68" spans="2:16" ht="47.25" x14ac:dyDescent="0.25">
      <c r="B68" s="161" t="s">
        <v>106</v>
      </c>
      <c r="C68" s="23" t="s">
        <v>1</v>
      </c>
      <c r="D68" s="113" t="s">
        <v>107</v>
      </c>
      <c r="E68" s="35" t="s">
        <v>1</v>
      </c>
      <c r="F68" s="50" t="s">
        <v>444</v>
      </c>
    </row>
    <row r="69" spans="2:16" ht="15.75" customHeight="1" x14ac:dyDescent="0.25">
      <c r="B69" s="228" t="s">
        <v>108</v>
      </c>
      <c r="C69" s="229"/>
      <c r="D69" s="229"/>
      <c r="E69" s="229"/>
      <c r="F69" s="230"/>
      <c r="G69" s="8"/>
      <c r="H69" s="8"/>
      <c r="I69" s="8"/>
      <c r="J69" s="8"/>
      <c r="K69" s="8"/>
      <c r="L69" s="8"/>
      <c r="M69" s="8"/>
      <c r="N69" s="8"/>
      <c r="O69" s="8"/>
      <c r="P69" s="8"/>
    </row>
    <row r="70" spans="2:16" ht="31.5" x14ac:dyDescent="0.25">
      <c r="B70" s="223" t="s">
        <v>109</v>
      </c>
      <c r="C70" s="37" t="s">
        <v>1</v>
      </c>
      <c r="D70" s="42" t="s">
        <v>110</v>
      </c>
      <c r="E70" s="37" t="s">
        <v>1</v>
      </c>
      <c r="F70" s="19" t="s">
        <v>111</v>
      </c>
    </row>
    <row r="71" spans="2:16" ht="31.5" x14ac:dyDescent="0.25">
      <c r="B71" s="224"/>
      <c r="C71" s="46"/>
      <c r="E71" s="48" t="s">
        <v>1</v>
      </c>
      <c r="F71" s="18" t="s">
        <v>445</v>
      </c>
    </row>
    <row r="72" spans="2:16" ht="18.75" x14ac:dyDescent="0.25">
      <c r="B72" s="231" t="s">
        <v>112</v>
      </c>
      <c r="C72" s="232"/>
      <c r="D72" s="232"/>
      <c r="E72" s="229"/>
      <c r="F72" s="230"/>
    </row>
    <row r="73" spans="2:16" ht="31.5" x14ac:dyDescent="0.25">
      <c r="B73" s="160" t="s">
        <v>113</v>
      </c>
      <c r="C73" s="37" t="s">
        <v>1</v>
      </c>
      <c r="D73" s="38" t="s">
        <v>114</v>
      </c>
      <c r="E73" s="37" t="s">
        <v>1</v>
      </c>
      <c r="F73" s="19" t="s">
        <v>115</v>
      </c>
    </row>
    <row r="74" spans="2:16" ht="47.25" x14ac:dyDescent="0.25">
      <c r="B74" s="163"/>
      <c r="C74" s="48"/>
      <c r="D74" s="54"/>
      <c r="E74" s="48" t="s">
        <v>1</v>
      </c>
      <c r="F74" s="18" t="s">
        <v>446</v>
      </c>
    </row>
    <row r="75" spans="2:16" ht="15.75" customHeight="1" x14ac:dyDescent="0.25">
      <c r="B75" s="231" t="s">
        <v>116</v>
      </c>
      <c r="C75" s="232"/>
      <c r="D75" s="232"/>
      <c r="E75" s="237"/>
      <c r="F75" s="238"/>
    </row>
    <row r="76" spans="2:16" ht="31.5" customHeight="1" x14ac:dyDescent="0.25">
      <c r="B76" s="35" t="s">
        <v>1</v>
      </c>
      <c r="C76" s="221" t="s">
        <v>447</v>
      </c>
      <c r="D76" s="221"/>
      <c r="E76" s="221"/>
      <c r="F76" s="222"/>
    </row>
    <row r="77" spans="2:16" ht="33" customHeight="1" x14ac:dyDescent="0.25">
      <c r="B77" s="35" t="s">
        <v>1</v>
      </c>
      <c r="C77" s="221" t="s">
        <v>448</v>
      </c>
      <c r="D77" s="221"/>
      <c r="E77" s="221"/>
      <c r="F77" s="222"/>
    </row>
    <row r="78" spans="2:16" x14ac:dyDescent="0.25">
      <c r="B78" s="7"/>
      <c r="C78" s="7"/>
      <c r="D78" s="7"/>
    </row>
    <row r="79" spans="2:16" ht="18.75" x14ac:dyDescent="0.3">
      <c r="B79" s="239" t="s">
        <v>117</v>
      </c>
      <c r="C79" s="240"/>
      <c r="D79" s="241"/>
    </row>
    <row r="80" spans="2:16" x14ac:dyDescent="0.25">
      <c r="B80" s="32" t="s">
        <v>118</v>
      </c>
      <c r="C80" s="28"/>
      <c r="D80" s="9" t="s">
        <v>119</v>
      </c>
    </row>
    <row r="81" spans="2:16" ht="15.75" customHeight="1" x14ac:dyDescent="0.25">
      <c r="B81" s="33" t="s">
        <v>120</v>
      </c>
      <c r="C81" s="27"/>
      <c r="D81" s="20" t="s">
        <v>121</v>
      </c>
    </row>
    <row r="82" spans="2:16" x14ac:dyDescent="0.25">
      <c r="B82" s="33" t="s">
        <v>122</v>
      </c>
      <c r="C82" s="7"/>
      <c r="D82" s="25" t="s">
        <v>123</v>
      </c>
    </row>
    <row r="83" spans="2:16" x14ac:dyDescent="0.25">
      <c r="B83" s="33" t="s">
        <v>124</v>
      </c>
      <c r="C83" s="8"/>
      <c r="D83" s="25" t="s">
        <v>125</v>
      </c>
      <c r="E83" s="8"/>
      <c r="G83" s="8"/>
      <c r="H83" s="8"/>
      <c r="I83" s="8"/>
      <c r="J83" s="8"/>
      <c r="K83" s="8"/>
      <c r="L83" s="8"/>
      <c r="M83" s="8"/>
      <c r="N83" s="8"/>
      <c r="O83" s="8"/>
      <c r="P83" s="8"/>
    </row>
    <row r="84" spans="2:16" x14ac:dyDescent="0.25">
      <c r="B84" s="33" t="s">
        <v>126</v>
      </c>
      <c r="C84" s="7"/>
      <c r="D84" s="25" t="s">
        <v>127</v>
      </c>
    </row>
    <row r="85" spans="2:16" x14ac:dyDescent="0.25">
      <c r="B85" s="33" t="s">
        <v>128</v>
      </c>
      <c r="C85" s="7"/>
      <c r="D85" s="25" t="s">
        <v>129</v>
      </c>
    </row>
    <row r="86" spans="2:16" ht="15.75" customHeight="1" x14ac:dyDescent="0.25">
      <c r="B86" s="33" t="s">
        <v>130</v>
      </c>
      <c r="C86" s="8"/>
      <c r="D86" s="25" t="s">
        <v>131</v>
      </c>
      <c r="E86" s="8"/>
      <c r="F86" s="8"/>
      <c r="G86" s="8"/>
      <c r="H86" s="8"/>
      <c r="I86" s="8"/>
      <c r="J86" s="8"/>
      <c r="K86" s="8"/>
      <c r="L86" s="8"/>
      <c r="M86" s="8"/>
      <c r="N86" s="8"/>
      <c r="O86" s="8"/>
      <c r="P86" s="8"/>
    </row>
    <row r="87" spans="2:16" ht="18.75" x14ac:dyDescent="0.3">
      <c r="B87" s="110" t="s">
        <v>132</v>
      </c>
      <c r="C87" s="111"/>
      <c r="D87" s="112" t="s">
        <v>133</v>
      </c>
    </row>
    <row r="88" spans="2:16" x14ac:dyDescent="0.25">
      <c r="B88" s="34" t="s">
        <v>134</v>
      </c>
      <c r="C88" s="30"/>
      <c r="D88" s="31" t="s">
        <v>135</v>
      </c>
    </row>
    <row r="91" spans="2:16" ht="18.75" x14ac:dyDescent="0.3">
      <c r="B91" s="239" t="s">
        <v>136</v>
      </c>
      <c r="C91" s="240"/>
      <c r="D91" s="241"/>
    </row>
    <row r="92" spans="2:16" ht="15.75" customHeight="1" x14ac:dyDescent="0.25">
      <c r="B92" s="234" t="s">
        <v>137</v>
      </c>
      <c r="C92" s="28"/>
      <c r="D92" s="57" t="s">
        <v>449</v>
      </c>
    </row>
    <row r="93" spans="2:16" ht="15.75" customHeight="1" x14ac:dyDescent="0.25">
      <c r="B93" s="235"/>
      <c r="C93" s="27"/>
      <c r="D93" s="58" t="s">
        <v>450</v>
      </c>
    </row>
    <row r="94" spans="2:16" ht="15.75" customHeight="1" x14ac:dyDescent="0.25">
      <c r="B94" s="235"/>
      <c r="C94" s="7"/>
      <c r="D94" s="58" t="s">
        <v>451</v>
      </c>
    </row>
    <row r="95" spans="2:16" ht="15.75" customHeight="1" x14ac:dyDescent="0.25">
      <c r="B95" s="235"/>
      <c r="C95" s="8"/>
      <c r="D95" s="58" t="s">
        <v>452</v>
      </c>
    </row>
    <row r="96" spans="2:16" ht="15.75" customHeight="1" x14ac:dyDescent="0.25">
      <c r="B96" s="235"/>
      <c r="C96" s="7"/>
      <c r="D96" s="58" t="s">
        <v>138</v>
      </c>
    </row>
    <row r="97" spans="2:11" ht="15.75" customHeight="1" x14ac:dyDescent="0.25">
      <c r="B97" s="235"/>
      <c r="C97" s="7"/>
      <c r="D97" s="58" t="s">
        <v>139</v>
      </c>
    </row>
    <row r="98" spans="2:11" ht="15.75" customHeight="1" x14ac:dyDescent="0.25">
      <c r="B98" s="236"/>
      <c r="C98" s="56"/>
      <c r="D98" s="59" t="s">
        <v>140</v>
      </c>
      <c r="F98" s="122"/>
      <c r="G98" s="122"/>
      <c r="H98" s="122"/>
      <c r="I98" s="122"/>
      <c r="J98" s="122"/>
      <c r="K98" s="122"/>
    </row>
    <row r="99" spans="2:11" ht="31.5" x14ac:dyDescent="0.3">
      <c r="B99" s="60" t="s">
        <v>141</v>
      </c>
      <c r="C99" s="61"/>
      <c r="D99" s="62" t="s">
        <v>142</v>
      </c>
      <c r="F99" s="123"/>
      <c r="G99" s="123"/>
      <c r="H99" s="123"/>
      <c r="I99" s="123"/>
    </row>
    <row r="100" spans="2:11" ht="15.75" customHeight="1" x14ac:dyDescent="0.3">
      <c r="B100" s="34"/>
      <c r="C100" s="63"/>
      <c r="D100" s="64" t="s">
        <v>143</v>
      </c>
      <c r="F100" s="245"/>
      <c r="G100" s="245"/>
      <c r="H100" s="123"/>
      <c r="I100" s="123"/>
      <c r="J100" s="123"/>
      <c r="K100" s="123"/>
    </row>
    <row r="101" spans="2:11" ht="31.5" x14ac:dyDescent="0.25">
      <c r="B101" s="234" t="s">
        <v>144</v>
      </c>
      <c r="C101" s="37" t="s">
        <v>1</v>
      </c>
      <c r="D101" s="62" t="s">
        <v>453</v>
      </c>
      <c r="F101" s="245"/>
      <c r="G101" s="245"/>
      <c r="H101" s="123"/>
      <c r="I101" s="123"/>
      <c r="J101" s="123"/>
      <c r="K101" s="123"/>
    </row>
    <row r="102" spans="2:11" ht="47.25" x14ac:dyDescent="0.25">
      <c r="B102" s="235"/>
      <c r="C102" s="23" t="s">
        <v>1</v>
      </c>
      <c r="D102" s="65" t="s">
        <v>454</v>
      </c>
      <c r="F102" s="245"/>
      <c r="G102" s="245"/>
      <c r="H102" s="123"/>
      <c r="I102" s="123"/>
      <c r="J102" s="123"/>
      <c r="K102" s="123"/>
    </row>
    <row r="103" spans="2:11" x14ac:dyDescent="0.25">
      <c r="B103" s="235"/>
      <c r="C103" s="23"/>
      <c r="D103" s="71"/>
      <c r="F103" s="245"/>
      <c r="G103" s="245"/>
      <c r="H103" s="123"/>
      <c r="I103" s="123"/>
      <c r="J103" s="123"/>
      <c r="K103" s="123"/>
    </row>
    <row r="104" spans="2:11" x14ac:dyDescent="0.25">
      <c r="B104" s="235"/>
      <c r="C104" s="69" t="s">
        <v>145</v>
      </c>
      <c r="D104" s="29"/>
      <c r="F104" s="245"/>
      <c r="G104" s="245"/>
      <c r="H104" s="123"/>
      <c r="I104" s="123"/>
      <c r="J104" s="123"/>
      <c r="K104" s="123"/>
    </row>
    <row r="105" spans="2:11" x14ac:dyDescent="0.25">
      <c r="B105" s="235"/>
      <c r="C105" s="46"/>
      <c r="D105" s="66" t="s">
        <v>455</v>
      </c>
      <c r="F105" s="245"/>
      <c r="G105" s="245"/>
      <c r="H105" s="123"/>
      <c r="I105" s="123"/>
      <c r="J105" s="123"/>
      <c r="K105" s="123"/>
    </row>
    <row r="106" spans="2:11" x14ac:dyDescent="0.25">
      <c r="B106" s="235"/>
      <c r="C106" s="67">
        <v>21</v>
      </c>
      <c r="D106" s="68">
        <v>92.5</v>
      </c>
      <c r="F106" s="245"/>
      <c r="G106" s="245"/>
      <c r="H106" s="123"/>
      <c r="I106" s="123"/>
      <c r="J106" s="123"/>
      <c r="K106" s="123"/>
    </row>
    <row r="107" spans="2:11" x14ac:dyDescent="0.25">
      <c r="B107" s="235"/>
      <c r="C107" s="67">
        <v>211</v>
      </c>
      <c r="D107" s="68">
        <v>94.32</v>
      </c>
      <c r="F107" s="245"/>
      <c r="G107" s="245"/>
      <c r="H107" s="123"/>
      <c r="I107" s="123"/>
      <c r="J107" s="123"/>
      <c r="K107" s="123"/>
    </row>
    <row r="108" spans="2:11" x14ac:dyDescent="0.25">
      <c r="B108" s="235"/>
      <c r="C108" s="67">
        <v>212</v>
      </c>
      <c r="D108" s="68">
        <v>96.99</v>
      </c>
      <c r="F108" s="245"/>
      <c r="G108" s="245"/>
      <c r="H108" s="123"/>
      <c r="I108" s="123"/>
      <c r="J108" s="123"/>
      <c r="K108" s="123"/>
    </row>
    <row r="109" spans="2:11" x14ac:dyDescent="0.25">
      <c r="B109" s="235"/>
      <c r="C109" s="67">
        <v>213</v>
      </c>
      <c r="D109" s="68">
        <v>99.47</v>
      </c>
      <c r="F109" s="245"/>
      <c r="G109" s="245"/>
      <c r="H109" s="123"/>
      <c r="I109" s="123"/>
      <c r="J109" s="123"/>
      <c r="K109" s="123"/>
    </row>
    <row r="110" spans="2:11" x14ac:dyDescent="0.25">
      <c r="B110" s="235"/>
      <c r="C110" s="67">
        <v>214</v>
      </c>
      <c r="D110" s="68">
        <v>99.79</v>
      </c>
      <c r="F110" s="245"/>
      <c r="G110" s="245"/>
      <c r="H110" s="123"/>
      <c r="I110" s="123"/>
      <c r="J110" s="123"/>
      <c r="K110" s="123"/>
    </row>
    <row r="111" spans="2:11" x14ac:dyDescent="0.25">
      <c r="B111" s="235"/>
      <c r="C111" s="67">
        <v>215</v>
      </c>
      <c r="D111" s="68">
        <v>1</v>
      </c>
      <c r="F111" s="245"/>
      <c r="G111" s="245"/>
      <c r="H111" s="123"/>
      <c r="I111" s="123"/>
      <c r="J111" s="123"/>
      <c r="K111" s="123"/>
    </row>
    <row r="112" spans="2:11" x14ac:dyDescent="0.25">
      <c r="B112" s="235"/>
      <c r="C112" s="67">
        <v>216</v>
      </c>
      <c r="D112" s="68">
        <v>1.1100000000000001</v>
      </c>
      <c r="F112" s="245"/>
      <c r="G112" s="245"/>
      <c r="H112" s="123"/>
      <c r="I112" s="123"/>
      <c r="J112" s="123"/>
      <c r="K112" s="123"/>
    </row>
    <row r="113" spans="1:11" x14ac:dyDescent="0.25">
      <c r="B113" s="235"/>
      <c r="C113" s="67">
        <v>217</v>
      </c>
      <c r="D113" s="68">
        <v>11.4</v>
      </c>
      <c r="F113" s="245"/>
      <c r="G113" s="245"/>
      <c r="H113" s="123"/>
      <c r="I113" s="123"/>
      <c r="J113" s="123"/>
      <c r="K113" s="123"/>
    </row>
    <row r="114" spans="1:11" x14ac:dyDescent="0.25">
      <c r="B114" s="235"/>
      <c r="C114" s="124">
        <v>218</v>
      </c>
      <c r="D114" s="68">
        <v>13.2</v>
      </c>
      <c r="F114" s="245"/>
      <c r="G114" s="245"/>
      <c r="H114" s="123"/>
    </row>
    <row r="115" spans="1:11" x14ac:dyDescent="0.25">
      <c r="B115" s="235"/>
      <c r="C115" s="246" t="s">
        <v>146</v>
      </c>
      <c r="D115" s="247"/>
      <c r="F115" s="157"/>
      <c r="G115" s="157"/>
      <c r="H115" s="123"/>
    </row>
    <row r="116" spans="1:11" x14ac:dyDescent="0.25">
      <c r="B116" s="236"/>
      <c r="C116" s="70" t="s">
        <v>456</v>
      </c>
      <c r="D116" s="31"/>
    </row>
    <row r="119" spans="1:11" ht="21" x14ac:dyDescent="0.35">
      <c r="A119" s="3" t="s">
        <v>147</v>
      </c>
    </row>
    <row r="121" spans="1:11" x14ac:dyDescent="0.25">
      <c r="B121" s="142" t="s">
        <v>148</v>
      </c>
      <c r="C121" s="143"/>
      <c r="D121" s="144" t="s">
        <v>149</v>
      </c>
      <c r="E121" s="143"/>
      <c r="F121" s="145"/>
    </row>
    <row r="122" spans="1:11" x14ac:dyDescent="0.25">
      <c r="B122" s="140" t="s">
        <v>457</v>
      </c>
      <c r="D122" s="1" t="s">
        <v>150</v>
      </c>
      <c r="F122" s="29"/>
    </row>
    <row r="123" spans="1:11" x14ac:dyDescent="0.25">
      <c r="B123" s="141" t="s">
        <v>458</v>
      </c>
      <c r="C123" s="139"/>
      <c r="D123" s="139" t="s">
        <v>151</v>
      </c>
      <c r="E123" s="139"/>
      <c r="F123" s="117"/>
    </row>
    <row r="124" spans="1:11" x14ac:dyDescent="0.25">
      <c r="B124" s="46"/>
      <c r="D124" s="1" t="s">
        <v>152</v>
      </c>
      <c r="F124" s="29"/>
    </row>
    <row r="125" spans="1:11" x14ac:dyDescent="0.25">
      <c r="B125" s="46"/>
      <c r="D125" s="1" t="s">
        <v>153</v>
      </c>
      <c r="F125" s="29"/>
    </row>
    <row r="126" spans="1:11" x14ac:dyDescent="0.25">
      <c r="B126" s="47"/>
      <c r="C126" s="30"/>
      <c r="D126" s="30" t="s">
        <v>154</v>
      </c>
      <c r="E126" s="30"/>
      <c r="F126" s="31"/>
    </row>
    <row r="127" spans="1:11" x14ac:dyDescent="0.25">
      <c r="B127" s="156" t="s">
        <v>459</v>
      </c>
      <c r="C127" s="143"/>
      <c r="D127" s="143" t="s">
        <v>155</v>
      </c>
      <c r="E127" s="143"/>
      <c r="F127" s="145"/>
    </row>
    <row r="138" ht="18" customHeight="1" x14ac:dyDescent="0.25"/>
    <row r="139" ht="18" customHeight="1" x14ac:dyDescent="0.25"/>
    <row r="140" ht="18" customHeight="1" x14ac:dyDescent="0.25"/>
  </sheetData>
  <mergeCells count="43">
    <mergeCell ref="C115:D115"/>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B92:B98"/>
    <mergeCell ref="B101:B116"/>
    <mergeCell ref="B75:F75"/>
    <mergeCell ref="B91:D91"/>
    <mergeCell ref="E17:F17"/>
    <mergeCell ref="B35:F35"/>
    <mergeCell ref="B53:F53"/>
    <mergeCell ref="B63:F63"/>
    <mergeCell ref="B67:F67"/>
    <mergeCell ref="B18:B19"/>
    <mergeCell ref="C17:D17"/>
    <mergeCell ref="B23:B34"/>
    <mergeCell ref="B36:B37"/>
    <mergeCell ref="B38:B39"/>
    <mergeCell ref="B79:D79"/>
    <mergeCell ref="B43:B44"/>
    <mergeCell ref="B48:B49"/>
    <mergeCell ref="D56:D57"/>
    <mergeCell ref="C76:F76"/>
    <mergeCell ref="C77:F77"/>
    <mergeCell ref="B70:B71"/>
    <mergeCell ref="B64:B66"/>
    <mergeCell ref="B55:B56"/>
    <mergeCell ref="B58:B60"/>
    <mergeCell ref="B69:F69"/>
    <mergeCell ref="B72:F72"/>
    <mergeCell ref="D58:D59"/>
  </mergeCells>
  <hyperlinks>
    <hyperlink ref="D100" r:id="rId1" xr:uid="{0E8AA294-E174-41CC-9FC6-3843EBAB9DBB}"/>
  </hyperlinks>
  <pageMargins left="0.7" right="0.7" top="0.75" bottom="0.75" header="0.3" footer="0.3"/>
  <pageSetup paperSize="9" scale="47" orientation="portrait" r:id="rId2"/>
  <colBreaks count="1" manualBreakCount="1">
    <brk id="4" max="92"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FD83A-B980-4BDB-9FB9-77669C899048}">
  <dimension ref="A1:C10"/>
  <sheetViews>
    <sheetView workbookViewId="0">
      <selection activeCell="C18" sqref="C18"/>
    </sheetView>
  </sheetViews>
  <sheetFormatPr defaultRowHeight="15.75" x14ac:dyDescent="0.25"/>
  <cols>
    <col min="3" max="3" width="33.5" customWidth="1"/>
  </cols>
  <sheetData>
    <row r="1" spans="1:3" ht="21" x14ac:dyDescent="0.35">
      <c r="A1" s="3" t="s">
        <v>379</v>
      </c>
    </row>
    <row r="3" spans="1:3" x14ac:dyDescent="0.25">
      <c r="B3" s="129" t="s">
        <v>380</v>
      </c>
      <c r="C3" s="130" t="s">
        <v>381</v>
      </c>
    </row>
    <row r="4" spans="1:3" x14ac:dyDescent="0.25">
      <c r="B4" s="129" t="s">
        <v>382</v>
      </c>
      <c r="C4" s="131">
        <v>43409</v>
      </c>
    </row>
    <row r="5" spans="1:3" x14ac:dyDescent="0.25">
      <c r="B5" s="129" t="s">
        <v>383</v>
      </c>
      <c r="C5" t="s">
        <v>384</v>
      </c>
    </row>
    <row r="6" spans="1:3" x14ac:dyDescent="0.25">
      <c r="C6" t="s">
        <v>385</v>
      </c>
    </row>
    <row r="7" spans="1:3" x14ac:dyDescent="0.25">
      <c r="C7" t="s">
        <v>386</v>
      </c>
    </row>
    <row r="8" spans="1:3" x14ac:dyDescent="0.25">
      <c r="C8" t="s">
        <v>387</v>
      </c>
    </row>
    <row r="9" spans="1:3" x14ac:dyDescent="0.25">
      <c r="C9" t="s">
        <v>388</v>
      </c>
    </row>
    <row r="10" spans="1:3" x14ac:dyDescent="0.25">
      <c r="C10" t="s">
        <v>389</v>
      </c>
    </row>
  </sheetData>
  <sheetProtection algorithmName="SHA-512" hashValue="PE5jJWiGEwJCkzK1Clnm4kOUGZTtdSGcbxHRjqbrGqppz9HHEsV5lqODpy7X6t2sNV4xYthc1CD6YirH09J1PA==" saltValue="61NILTqGSUdTfxT9UcWQ/Q=="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Z92"/>
  <sheetViews>
    <sheetView tabSelected="1" zoomScale="80" zoomScaleNormal="80" workbookViewId="0">
      <selection activeCell="D28" sqref="D28:O28"/>
    </sheetView>
  </sheetViews>
  <sheetFormatPr defaultColWidth="11" defaultRowHeight="15.75" x14ac:dyDescent="0.25"/>
  <cols>
    <col min="1" max="1" width="4.875" customWidth="1"/>
    <col min="2" max="2" width="6.375" customWidth="1"/>
    <col min="3" max="3" width="24.75" customWidth="1"/>
    <col min="4" max="4" width="13.625" customWidth="1"/>
    <col min="5" max="5" width="13.75" customWidth="1"/>
    <col min="6" max="6" width="10.875" customWidth="1"/>
    <col min="52" max="52" width="131" hidden="1" customWidth="1"/>
  </cols>
  <sheetData>
    <row r="1" spans="1:52" ht="21" x14ac:dyDescent="0.35">
      <c r="B1" s="3" t="s">
        <v>390</v>
      </c>
      <c r="C1" s="1"/>
      <c r="D1" s="1"/>
      <c r="E1" s="1"/>
      <c r="F1" s="1"/>
      <c r="G1" s="1"/>
      <c r="H1" s="1"/>
      <c r="I1" s="1"/>
      <c r="J1" s="1"/>
      <c r="K1" s="1"/>
      <c r="L1" s="1"/>
      <c r="M1" s="1"/>
      <c r="N1" s="1"/>
      <c r="O1" s="1"/>
      <c r="AZ1" s="109"/>
    </row>
    <row r="2" spans="1:52" ht="20.25" customHeight="1" thickBot="1" x14ac:dyDescent="0.3">
      <c r="A2" s="1"/>
      <c r="B2" s="1"/>
      <c r="C2" s="1"/>
      <c r="D2" s="1"/>
      <c r="E2" s="1"/>
      <c r="F2" s="1"/>
      <c r="G2" s="1"/>
      <c r="H2" s="1"/>
      <c r="I2" s="1"/>
      <c r="J2" s="1"/>
      <c r="K2" s="1"/>
      <c r="L2" s="1"/>
      <c r="M2" s="1"/>
      <c r="N2" s="1"/>
      <c r="O2" s="1"/>
      <c r="AZ2" s="109"/>
    </row>
    <row r="3" spans="1:52" ht="29.25" customHeight="1" thickBot="1" x14ac:dyDescent="0.3">
      <c r="A3" s="1"/>
      <c r="B3" s="527" t="str">
        <f>IF('Data input'!D5="","",'Data input'!D5)</f>
        <v>Geothermal heat production, deep, (&gt;1500 &lt; 4000 meter)</v>
      </c>
      <c r="C3" s="528"/>
      <c r="D3" s="528"/>
      <c r="E3" s="528"/>
      <c r="F3" s="528"/>
      <c r="G3" s="528"/>
      <c r="H3" s="528"/>
      <c r="I3" s="528"/>
      <c r="J3" s="528"/>
      <c r="K3" s="528"/>
      <c r="L3" s="528"/>
      <c r="M3" s="528"/>
      <c r="N3" s="528"/>
      <c r="O3" s="529"/>
      <c r="Q3" s="5"/>
      <c r="R3" s="5"/>
      <c r="S3" s="5"/>
      <c r="T3" s="5"/>
      <c r="U3" s="5"/>
      <c r="V3" s="5"/>
      <c r="W3" s="5"/>
      <c r="X3" s="5"/>
      <c r="AZ3" s="109"/>
    </row>
    <row r="4" spans="1:52" ht="16.5" thickBot="1" x14ac:dyDescent="0.3">
      <c r="A4" s="1"/>
      <c r="B4" s="530" t="s">
        <v>299</v>
      </c>
      <c r="C4" s="531"/>
      <c r="D4" s="532">
        <f>IF('Data input'!D6="DD-MM-YYYY"," ",'Data input'!D6)</f>
        <v>44403</v>
      </c>
      <c r="E4" s="533"/>
      <c r="F4" s="533"/>
      <c r="G4" s="533"/>
      <c r="H4" s="533"/>
      <c r="I4" s="533"/>
      <c r="J4" s="533"/>
      <c r="K4" s="533"/>
      <c r="L4" s="533"/>
      <c r="M4" s="533"/>
      <c r="N4" s="533"/>
      <c r="O4" s="534"/>
      <c r="AZ4" s="109"/>
    </row>
    <row r="5" spans="1:52" ht="16.5" thickBot="1" x14ac:dyDescent="0.3">
      <c r="A5" s="1"/>
      <c r="B5" s="550" t="s">
        <v>391</v>
      </c>
      <c r="C5" s="551"/>
      <c r="D5" s="552" t="str">
        <f>IF('Data input'!D5="Specify here"," ",'Data input'!D5)</f>
        <v>Geothermal heat production, deep, (&gt;1500 &lt; 4000 meter)</v>
      </c>
      <c r="E5" s="553"/>
      <c r="F5" s="553"/>
      <c r="G5" s="553"/>
      <c r="H5" s="553"/>
      <c r="I5" s="553"/>
      <c r="J5" s="553"/>
      <c r="K5" s="553"/>
      <c r="L5" s="553"/>
      <c r="M5" s="553"/>
      <c r="N5" s="553"/>
      <c r="O5" s="554"/>
      <c r="AZ5" s="109"/>
    </row>
    <row r="6" spans="1:52" x14ac:dyDescent="0.25">
      <c r="A6" s="1"/>
      <c r="B6" s="507" t="s">
        <v>18</v>
      </c>
      <c r="C6" s="508"/>
      <c r="D6" s="542" t="str">
        <f>IF('Data input'!D8="Please select"," ",'Data input'!D8)</f>
        <v>Agriculture: Horticulture</v>
      </c>
      <c r="E6" s="543"/>
      <c r="F6" s="543"/>
      <c r="G6" s="543"/>
      <c r="H6" s="543"/>
      <c r="I6" s="543"/>
      <c r="J6" s="543"/>
      <c r="K6" s="543"/>
      <c r="L6" s="543"/>
      <c r="M6" s="543"/>
      <c r="N6" s="543"/>
      <c r="O6" s="544"/>
      <c r="AZ6" s="109"/>
    </row>
    <row r="7" spans="1:52" ht="16.5" thickBot="1" x14ac:dyDescent="0.3">
      <c r="A7" s="1"/>
      <c r="B7" s="540"/>
      <c r="C7" s="541"/>
      <c r="D7" s="535" t="str">
        <f>IF('Data input'!D9="Other (specify here)"," ",'Data input'!D9)</f>
        <v>Industry, built environment (heat &lt; 100 C)</v>
      </c>
      <c r="E7" s="536"/>
      <c r="F7" s="536"/>
      <c r="G7" s="536"/>
      <c r="H7" s="536"/>
      <c r="I7" s="536"/>
      <c r="J7" s="536"/>
      <c r="K7" s="536"/>
      <c r="L7" s="536"/>
      <c r="M7" s="536"/>
      <c r="N7" s="536"/>
      <c r="O7" s="537"/>
      <c r="AZ7" s="109"/>
    </row>
    <row r="8" spans="1:52" ht="16.5" thickBot="1" x14ac:dyDescent="0.3">
      <c r="A8" s="1"/>
      <c r="B8" s="538" t="s">
        <v>22</v>
      </c>
      <c r="C8" s="539"/>
      <c r="D8" s="535" t="str">
        <f>IF('Data input'!D10="Please select"," ",'Data input'!D10)</f>
        <v>Non-ETS</v>
      </c>
      <c r="E8" s="536"/>
      <c r="F8" s="536"/>
      <c r="G8" s="536"/>
      <c r="H8" s="536"/>
      <c r="I8" s="536"/>
      <c r="J8" s="536"/>
      <c r="K8" s="536"/>
      <c r="L8" s="536"/>
      <c r="M8" s="536"/>
      <c r="N8" s="536"/>
      <c r="O8" s="537"/>
      <c r="AZ8" s="109"/>
    </row>
    <row r="9" spans="1:52" ht="16.5" thickBot="1" x14ac:dyDescent="0.3">
      <c r="A9" s="1"/>
      <c r="B9" s="538" t="s">
        <v>24</v>
      </c>
      <c r="C9" s="539"/>
      <c r="D9" s="535" t="str">
        <f>IF('Data input'!D11="Please select"," ",'Data input'!D11)</f>
        <v>Renewable</v>
      </c>
      <c r="E9" s="536"/>
      <c r="F9" s="536"/>
      <c r="G9" s="536"/>
      <c r="H9" s="536"/>
      <c r="I9" s="536"/>
      <c r="J9" s="536"/>
      <c r="K9" s="536"/>
      <c r="L9" s="536"/>
      <c r="M9" s="536"/>
      <c r="N9" s="536"/>
      <c r="O9" s="537"/>
      <c r="AZ9" s="109"/>
    </row>
    <row r="10" spans="1:52" ht="256.89999999999998" customHeight="1" thickBot="1" x14ac:dyDescent="0.3">
      <c r="A10" s="1"/>
      <c r="B10" s="545" t="s">
        <v>27</v>
      </c>
      <c r="C10" s="546"/>
      <c r="D10" s="556" t="str">
        <f>IF('Data input'!D12="Specify here"," ",'Data input'!D12)</f>
        <v>This technology represents the application of heat production from geothermal formations in The Netherlands. A typical project consists of two wells, a production and an injection well, also called doublet. The wells are either fully vertically drilled or vertical with a curvature deep below. The bottom of the wells is situated in a water holding layer of  sand- or limestone, and lies between 1500 and 4000 meters below ground level. Salty hot water (brine) is pumped up through the production well, cooled in a heat exchanger and injected back underground through the injection well. In principle there is no loss of brine water, but some degassing may be needed as natural gas may be dissolved in the brine and needs to be separated. An alternative is to maintain sufficient pressure so that no natural gas escapes and is injected back underground. The warm water production temperature varies typically between 70 and 90⁰C (max 100⁰C) depending on the depth and the type of layer. For the Netherlands, a temperature gradient of around 30⁰C per kilometer is valid. The injection temperature lies between 35⁰C or lower. Lowering the injection temperature can increase the heat output of the system. Production volumes can be several hundreds m3 per hour, depending on the heat demand and the well characteristics. The installation consists of two bore holes usually in steel with liners, a production pump (Electric Submersible Pump, ESP), an above ground heat exchanger and an injection pump. An oil and/or gas separator is optional. In some cases, anti-scaling prohibitors may be required. Safety measures like a blow-out prevenator and double tubing to avoid and control gas leakage have recently become mandatory in the Netherlands. To date all existing geothermal projects are situated in the horticultural sector, although some proposals exist for projects in the built environment. A heat network or a heat distribution network may be required, but is not part of this factsheet. 
Legend: 1) above ground installation ; 2) production and injection wells; 3) brine extraction and injection.</v>
      </c>
      <c r="E10" s="557"/>
      <c r="F10" s="557"/>
      <c r="G10" s="557"/>
      <c r="H10" s="557"/>
      <c r="I10" s="557"/>
      <c r="J10" s="557"/>
      <c r="K10" s="557"/>
      <c r="L10" s="557"/>
      <c r="M10" s="557"/>
      <c r="N10" s="176"/>
      <c r="O10" s="177"/>
      <c r="AZ10" s="109" t="str">
        <f>D10</f>
        <v>This technology represents the application of heat production from geothermal formations in The Netherlands. A typical project consists of two wells, a production and an injection well, also called doublet. The wells are either fully vertically drilled or vertical with a curvature deep below. The bottom of the wells is situated in a water holding layer of  sand- or limestone, and lies between 1500 and 4000 meters below ground level. Salty hot water (brine) is pumped up through the production well, cooled in a heat exchanger and injected back underground through the injection well. In principle there is no loss of brine water, but some degassing may be needed as natural gas may be dissolved in the brine and needs to be separated. An alternative is to maintain sufficient pressure so that no natural gas escapes and is injected back underground. The warm water production temperature varies typically between 70 and 90⁰C (max 100⁰C) depending on the depth and the type of layer. For the Netherlands, a temperature gradient of around 30⁰C per kilometer is valid. The injection temperature lies between 35⁰C or lower. Lowering the injection temperature can increase the heat output of the system. Production volumes can be several hundreds m3 per hour, depending on the heat demand and the well characteristics. The installation consists of two bore holes usually in steel with liners, a production pump (Electric Submersible Pump, ESP), an above ground heat exchanger and an injection pump. An oil and/or gas separator is optional. In some cases, anti-scaling prohibitors may be required. Safety measures like a blow-out prevenator and double tubing to avoid and control gas leakage have recently become mandatory in the Netherlands. To date all existing geothermal projects are situated in the horticultural sector, although some proposals exist for projects in the built environment. A heat network or a heat distribution network may be required, but is not part of this factsheet. 
Legend: 1) above ground installation ; 2) production and injection wells; 3) brine extraction and injection.</v>
      </c>
    </row>
    <row r="11" spans="1:52" ht="16.5" thickBot="1" x14ac:dyDescent="0.3">
      <c r="A11" s="1"/>
      <c r="B11" s="397" t="s">
        <v>303</v>
      </c>
      <c r="C11" s="398"/>
      <c r="D11" s="547" t="str">
        <f>IF('Data input'!D13="Select the observed or expected TRL level in 2020"," ",'Data input'!D13)</f>
        <v>TRL 8</v>
      </c>
      <c r="E11" s="548"/>
      <c r="F11" s="548"/>
      <c r="G11" s="548"/>
      <c r="H11" s="548"/>
      <c r="I11" s="548"/>
      <c r="J11" s="548"/>
      <c r="K11" s="548"/>
      <c r="L11" s="548"/>
      <c r="M11" s="548"/>
      <c r="N11" s="548"/>
      <c r="O11" s="549"/>
      <c r="AZ11" s="109"/>
    </row>
    <row r="12" spans="1:52" ht="142.5" thickBot="1" x14ac:dyDescent="0.3">
      <c r="A12" s="1"/>
      <c r="B12" s="73"/>
      <c r="C12" s="90"/>
      <c r="D12" s="456" t="str">
        <f>IF('Data input'!D14="Explain here (add reference sources)"," ",'Data input'!D14)</f>
        <v>Only a limited amount of  geothermal heat production installations exist in the Netherlands in 2020, of which all are situated in the horticultural sector. About 50 more have applied for SDE subsidy (up to 2020). Although geothermal for heat generation is a fairly young application, much of the knowledge needed on the underground and on drilling exists from the vast amount of experience from oil and gas wells in the Netherlands. Most of the techniques applied (drilling, oil/gas separation, heat exchangers) are mature and commercially available. There is still room for improvement in the use of advanced materials, smarter drilling campaigns and projects' experience, hence a TRL level 8 is chosen.
Staatstoezicht op de Mijnen (SoDM) controls the safe working of the projects and the Dutch association of geothermal operators (DAGO) is developing a number of guidelines to professionalise installations and operators. TNO's geology unit approves the project data (expected heat output and volumes) in order to be eligible for subsidy (SDE++). They also monitor and publish production on a monthly basis (nlog.nl).</v>
      </c>
      <c r="E12" s="457"/>
      <c r="F12" s="457"/>
      <c r="G12" s="457"/>
      <c r="H12" s="457"/>
      <c r="I12" s="457"/>
      <c r="J12" s="457"/>
      <c r="K12" s="457"/>
      <c r="L12" s="457"/>
      <c r="M12" s="457"/>
      <c r="N12" s="457"/>
      <c r="O12" s="458"/>
      <c r="AZ12" s="109" t="str">
        <f>D12</f>
        <v>Only a limited amount of  geothermal heat production installations exist in the Netherlands in 2020, of which all are situated in the horticultural sector. About 50 more have applied for SDE subsidy (up to 2020). Although geothermal for heat generation is a fairly young application, much of the knowledge needed on the underground and on drilling exists from the vast amount of experience from oil and gas wells in the Netherlands. Most of the techniques applied (drilling, oil/gas separation, heat exchangers) are mature and commercially available. There is still room for improvement in the use of advanced materials, smarter drilling campaigns and projects' experience, hence a TRL level 8 is chosen.
Staatstoezicht op de Mijnen (SoDM) controls the safe working of the projects and the Dutch association of geothermal operators (DAGO) is developing a number of guidelines to professionalise installations and operators. TNO's geology unit approves the project data (expected heat output and volumes) in order to be eligible for subsidy (SDE++). They also monitor and publish production on a monthly basis (nlog.nl).</v>
      </c>
    </row>
    <row r="13" spans="1:52" ht="16.5" thickBot="1" x14ac:dyDescent="0.3">
      <c r="A13" s="1"/>
      <c r="B13" s="555" t="s">
        <v>50</v>
      </c>
      <c r="C13" s="446"/>
      <c r="D13" s="446"/>
      <c r="E13" s="446"/>
      <c r="F13" s="446"/>
      <c r="G13" s="446"/>
      <c r="H13" s="446"/>
      <c r="I13" s="446"/>
      <c r="J13" s="446"/>
      <c r="K13" s="446"/>
      <c r="L13" s="446"/>
      <c r="M13" s="446"/>
      <c r="N13" s="446"/>
      <c r="O13" s="447"/>
      <c r="AZ13" s="109"/>
    </row>
    <row r="14" spans="1:52" x14ac:dyDescent="0.25">
      <c r="A14" s="1"/>
      <c r="B14" s="507"/>
      <c r="C14" s="508"/>
      <c r="D14" s="504" t="s">
        <v>305</v>
      </c>
      <c r="E14" s="505"/>
      <c r="F14" s="506"/>
      <c r="G14" s="502" t="s">
        <v>392</v>
      </c>
      <c r="H14" s="435"/>
      <c r="I14" s="435"/>
      <c r="J14" s="435"/>
      <c r="K14" s="435"/>
      <c r="L14" s="435"/>
      <c r="M14" s="435"/>
      <c r="N14" s="503"/>
      <c r="O14" s="436"/>
      <c r="AZ14" s="109"/>
    </row>
    <row r="15" spans="1:52" x14ac:dyDescent="0.25">
      <c r="A15" s="1"/>
      <c r="B15" s="510" t="s">
        <v>55</v>
      </c>
      <c r="C15" s="511"/>
      <c r="D15" s="521" t="str">
        <f>IF('Data input'!D19="Select Functional Unit above","",'Data input'!D19)</f>
        <v>kW</v>
      </c>
      <c r="E15" s="522"/>
      <c r="F15" s="523"/>
      <c r="G15" s="470">
        <f>'Data input'!G19</f>
        <v>15000</v>
      </c>
      <c r="H15" s="471"/>
      <c r="I15" s="471"/>
      <c r="J15" s="471"/>
      <c r="K15" s="471"/>
      <c r="L15" s="471"/>
      <c r="M15" s="471"/>
      <c r="N15" s="472"/>
      <c r="O15" s="473"/>
      <c r="AZ15" s="109"/>
    </row>
    <row r="16" spans="1:52" ht="16.5" thickBot="1" x14ac:dyDescent="0.3">
      <c r="A16" s="1"/>
      <c r="B16" s="175"/>
      <c r="C16" s="146"/>
      <c r="D16" s="409"/>
      <c r="E16" s="524"/>
      <c r="F16" s="525"/>
      <c r="G16" s="478">
        <f>IF('Data input'!G19="","Min",MIN('Data input'!G19:K19))</f>
        <v>15000</v>
      </c>
      <c r="H16" s="479"/>
      <c r="I16" s="479"/>
      <c r="J16" s="480" t="s">
        <v>393</v>
      </c>
      <c r="K16" s="480"/>
      <c r="L16" s="480"/>
      <c r="M16" s="479">
        <f>IF('Data input'!G19="","Max",MAX('Data input'!G19:K19))</f>
        <v>15000</v>
      </c>
      <c r="N16" s="481"/>
      <c r="O16" s="482"/>
      <c r="AZ16" s="109"/>
    </row>
    <row r="17" spans="1:52" x14ac:dyDescent="0.25">
      <c r="A17" s="1"/>
      <c r="B17" s="206"/>
      <c r="C17" s="207"/>
      <c r="D17" s="517" t="str">
        <f>IF('Data input'!D22="Please select the region","",'Data input'!D22)</f>
        <v>NL</v>
      </c>
      <c r="E17" s="518"/>
      <c r="F17" s="483" t="str">
        <f>IF('Data input'!F22="Please select","",'Data input'!F22)</f>
        <v>MW</v>
      </c>
      <c r="G17" s="437" t="s">
        <v>394</v>
      </c>
      <c r="H17" s="435"/>
      <c r="I17" s="435"/>
      <c r="J17" s="435">
        <v>2030</v>
      </c>
      <c r="K17" s="435"/>
      <c r="L17" s="435"/>
      <c r="M17" s="435">
        <v>2050</v>
      </c>
      <c r="N17" s="435"/>
      <c r="O17" s="436"/>
      <c r="AZ17" s="109"/>
    </row>
    <row r="18" spans="1:52" x14ac:dyDescent="0.25">
      <c r="A18" s="1"/>
      <c r="B18" s="558" t="s">
        <v>60</v>
      </c>
      <c r="C18" s="559"/>
      <c r="D18" s="519"/>
      <c r="E18" s="520"/>
      <c r="F18" s="484"/>
      <c r="G18" s="423">
        <f>'Data input'!G23</f>
        <v>0</v>
      </c>
      <c r="H18" s="424"/>
      <c r="I18" s="424"/>
      <c r="J18" s="424">
        <f>'Data input'!L23</f>
        <v>2314.8148148148148</v>
      </c>
      <c r="K18" s="424"/>
      <c r="L18" s="424"/>
      <c r="M18" s="424">
        <f>'Data input'!Q23</f>
        <v>9259.2592592592591</v>
      </c>
      <c r="N18" s="424"/>
      <c r="O18" s="427"/>
      <c r="AZ18" s="109"/>
    </row>
    <row r="19" spans="1:52" ht="16.5" thickBot="1" x14ac:dyDescent="0.3">
      <c r="A19" s="1"/>
      <c r="B19" s="208"/>
      <c r="C19" s="209"/>
      <c r="D19" s="519"/>
      <c r="E19" s="520"/>
      <c r="F19" s="484"/>
      <c r="G19" s="132" t="str">
        <f>IF('Data input'!G23="","Min",MIN('Data input'!G23:K23))</f>
        <v>Min</v>
      </c>
      <c r="H19" s="133" t="s">
        <v>395</v>
      </c>
      <c r="I19" s="134" t="str">
        <f>IF('Data input'!G23="","Max",MAX('Data input'!G23:K23))</f>
        <v>Max</v>
      </c>
      <c r="J19" s="134">
        <f>IF('Data input'!L23="","Min",MIN('Data input'!L23:P23))</f>
        <v>2314.8148148148148</v>
      </c>
      <c r="K19" s="133" t="s">
        <v>395</v>
      </c>
      <c r="L19" s="134">
        <f>IF('Data input'!L23="","Max",MAX('Data input'!L23:P23))</f>
        <v>2314.8148148148148</v>
      </c>
      <c r="M19" s="134">
        <f>IF('Data input'!Q23="","Min",MIN('Data input'!Q23:U23))</f>
        <v>9259.2592592592591</v>
      </c>
      <c r="N19" s="133" t="s">
        <v>395</v>
      </c>
      <c r="O19" s="147">
        <f>IF('Data input'!Q23="","Max",MAX('Data input'!Q23:U23))</f>
        <v>9259.2592592592591</v>
      </c>
      <c r="AZ19" s="109"/>
    </row>
    <row r="20" spans="1:52" x14ac:dyDescent="0.25">
      <c r="A20" s="1"/>
      <c r="B20" s="399" t="s">
        <v>317</v>
      </c>
      <c r="C20" s="400"/>
      <c r="D20" s="407" t="str">
        <f>IF('Data input'!D25="Specify here the market","",'Data input'!D25)</f>
        <v/>
      </c>
      <c r="E20" s="408"/>
      <c r="F20" s="411" t="s">
        <v>319</v>
      </c>
      <c r="G20" s="514">
        <f>'Data input'!G25</f>
        <v>0</v>
      </c>
      <c r="H20" s="515"/>
      <c r="I20" s="515"/>
      <c r="J20" s="515">
        <f>'Data input'!L25</f>
        <v>5</v>
      </c>
      <c r="K20" s="515"/>
      <c r="L20" s="515"/>
      <c r="M20" s="515">
        <f>'Data input'!Q25</f>
        <v>22</v>
      </c>
      <c r="N20" s="515"/>
      <c r="O20" s="516"/>
      <c r="AZ20" s="109"/>
    </row>
    <row r="21" spans="1:52" ht="16.5" thickBot="1" x14ac:dyDescent="0.3">
      <c r="A21" s="1"/>
      <c r="B21" s="401"/>
      <c r="C21" s="402"/>
      <c r="D21" s="409"/>
      <c r="E21" s="410"/>
      <c r="F21" s="412"/>
      <c r="G21" s="148" t="str">
        <f>IF('Data input'!G25="","Min",MIN('Data input'!G25:K25))</f>
        <v>Min</v>
      </c>
      <c r="H21" s="135" t="s">
        <v>395</v>
      </c>
      <c r="I21" s="136" t="str">
        <f>IF('Data input'!G25="","Max",MAX('Data input'!G25:K25))</f>
        <v>Max</v>
      </c>
      <c r="J21" s="135">
        <f>IF('Data input'!L25="","Min",MIN('Data input'!L25:P25))</f>
        <v>5</v>
      </c>
      <c r="K21" s="135" t="s">
        <v>395</v>
      </c>
      <c r="L21" s="136">
        <f>IF('Data input'!L25="","Max",MAX('Data input'!L25:P25))</f>
        <v>5</v>
      </c>
      <c r="M21" s="135">
        <f>IF('Data input'!Q25="","Min",MIN('Data input'!Q25:U25))</f>
        <v>22</v>
      </c>
      <c r="N21" s="135" t="s">
        <v>395</v>
      </c>
      <c r="O21" s="137">
        <f>IF('Data input'!Q25="","Max",MAX('Data input'!Q25:U25))</f>
        <v>22</v>
      </c>
      <c r="AZ21" s="109"/>
    </row>
    <row r="22" spans="1:52" ht="16.5" thickBot="1" x14ac:dyDescent="0.3">
      <c r="A22" s="1"/>
      <c r="B22" s="421" t="s">
        <v>396</v>
      </c>
      <c r="C22" s="509"/>
      <c r="D22" s="485">
        <f>IF('Data input'!D27="Specify here (if not specified, value will be 1)",1,'Data input'!D27)</f>
        <v>1</v>
      </c>
      <c r="E22" s="486"/>
      <c r="F22" s="486"/>
      <c r="G22" s="486"/>
      <c r="H22" s="486"/>
      <c r="I22" s="486"/>
      <c r="J22" s="486"/>
      <c r="K22" s="486"/>
      <c r="L22" s="486"/>
      <c r="M22" s="486"/>
      <c r="N22" s="486"/>
      <c r="O22" s="487"/>
      <c r="AZ22" s="109"/>
    </row>
    <row r="23" spans="1:52" ht="16.5" thickBot="1" x14ac:dyDescent="0.3">
      <c r="A23" s="1"/>
      <c r="B23" s="421" t="s">
        <v>70</v>
      </c>
      <c r="C23" s="422"/>
      <c r="D23" s="488">
        <f>IF('Data input'!D28="Specify here"," ",'Data input'!D28)</f>
        <v>6000</v>
      </c>
      <c r="E23" s="489"/>
      <c r="F23" s="489"/>
      <c r="G23" s="489"/>
      <c r="H23" s="489"/>
      <c r="I23" s="489"/>
      <c r="J23" s="489"/>
      <c r="K23" s="489"/>
      <c r="L23" s="489"/>
      <c r="M23" s="489"/>
      <c r="N23" s="489"/>
      <c r="O23" s="490"/>
      <c r="AZ23" s="109"/>
    </row>
    <row r="24" spans="1:52" ht="16.5" thickBot="1" x14ac:dyDescent="0.3">
      <c r="A24" s="1"/>
      <c r="B24" s="421" t="s">
        <v>72</v>
      </c>
      <c r="C24" s="422"/>
      <c r="D24" s="114" t="str">
        <f>IF('Data input'!D29="Please select"," ",'Data input'!D29)</f>
        <v>MWh/year</v>
      </c>
      <c r="E24" s="499" t="str">
        <f>IF('Data input'!D30="Specify here"," ",'Data input'!D30)</f>
        <v xml:space="preserve"> </v>
      </c>
      <c r="F24" s="500"/>
      <c r="G24" s="500"/>
      <c r="H24" s="500"/>
      <c r="I24" s="500"/>
      <c r="J24" s="500"/>
      <c r="K24" s="500"/>
      <c r="L24" s="500"/>
      <c r="M24" s="500"/>
      <c r="N24" s="500"/>
      <c r="O24" s="501"/>
      <c r="AZ24" s="109"/>
    </row>
    <row r="25" spans="1:52" ht="16.5" thickBot="1" x14ac:dyDescent="0.3">
      <c r="A25" s="1"/>
      <c r="B25" s="421" t="s">
        <v>80</v>
      </c>
      <c r="C25" s="422"/>
      <c r="D25" s="485">
        <f>IF('Data input'!D31="Specify here"," ",'Data input'!D31)</f>
        <v>30</v>
      </c>
      <c r="E25" s="486"/>
      <c r="F25" s="486"/>
      <c r="G25" s="486"/>
      <c r="H25" s="486"/>
      <c r="I25" s="486"/>
      <c r="J25" s="486"/>
      <c r="K25" s="486"/>
      <c r="L25" s="486"/>
      <c r="M25" s="486"/>
      <c r="N25" s="486"/>
      <c r="O25" s="487"/>
      <c r="AZ25" s="109"/>
    </row>
    <row r="26" spans="1:52" ht="16.5" thickBot="1" x14ac:dyDescent="0.3">
      <c r="A26" s="1"/>
      <c r="B26" s="421" t="s">
        <v>82</v>
      </c>
      <c r="C26" s="422"/>
      <c r="D26" s="491" t="str">
        <f>IF('Data input'!D32="Specify here"," ",'Data input'!D32)</f>
        <v>n/a</v>
      </c>
      <c r="E26" s="492"/>
      <c r="F26" s="492"/>
      <c r="G26" s="492"/>
      <c r="H26" s="492"/>
      <c r="I26" s="492"/>
      <c r="J26" s="492"/>
      <c r="K26" s="492"/>
      <c r="L26" s="492"/>
      <c r="M26" s="492"/>
      <c r="N26" s="492"/>
      <c r="O26" s="493"/>
      <c r="AZ26" s="109"/>
    </row>
    <row r="27" spans="1:52" ht="16.5" thickBot="1" x14ac:dyDescent="0.3">
      <c r="A27" s="1"/>
      <c r="B27" s="421" t="s">
        <v>83</v>
      </c>
      <c r="C27" s="422"/>
      <c r="D27" s="496" t="str">
        <f>IF('Data input'!D33="Please select"," ",'Data input'!D33)</f>
        <v>Yes</v>
      </c>
      <c r="E27" s="497"/>
      <c r="F27" s="497"/>
      <c r="G27" s="497"/>
      <c r="H27" s="497"/>
      <c r="I27" s="497"/>
      <c r="J27" s="497"/>
      <c r="K27" s="497"/>
      <c r="L27" s="497"/>
      <c r="M27" s="497"/>
      <c r="N27" s="497"/>
      <c r="O27" s="498"/>
      <c r="AZ27" s="109"/>
    </row>
    <row r="28" spans="1:52" ht="222" customHeight="1" thickBot="1" x14ac:dyDescent="0.3">
      <c r="A28" s="1"/>
      <c r="B28" s="494" t="s">
        <v>322</v>
      </c>
      <c r="C28" s="495"/>
      <c r="D28" s="456" t="str">
        <f>IF('Data input'!D34="Explain here (e.g. other technical dimensions, region covered for potential such as NL or EU)"," ",'Data input'!D34)</f>
        <v>The current size of a typical geothermal project is 15 MWth, based on an application in horticulture, with a range between 7 and 30 MWth (SDE++ data up to spring 2020 including existing projects and applications). This size does already include a capacity factor based on existing projects, being the ratio of actual heat power (production) compared  to the expected power output as estimated in the SDE+ subsidy application (pre-drill). An annual full load production time of 6000 hours is assumed for geothermal applications in the horticultural sector, considered baseload. However actual production time varies between 4000 and  8000 hours. In the built environment, full load hours depend on the size of the heat network: in large networks, 6000 hours are possible, in smaller or new networks, 3500 hours is the default.  Much of the amount of full load hours depends on the heat demand profile, quite often this is in U-shape (like a bath tub): higher demand levels in winter compared to intermediate and summer seasons. Geothermal projects in the horticultural sector are designed to run as much as possible as baseload, so with high full load hours. Other sectors, like industry or other applications , could also apply this technology. 
Lifetime is expected to be up to 30 years, but so far no project has been running more than a few years. Technical or seismic problems have caused some projects to be shut down after a few years. Legislation requires that wells have to be closed up in such a way that gas leakage at the end of their life time is prevented.
The sector estimates that geothermal heat could supply 50 PJ in 2030 and 200 PJ in 2050 (13,9 to 55,6 million MWh), or 5% and 22% of the heat demand below 100oC (SPG 2018).  Currently (2020) about 6,2 PJ  (1,7 million MWh) of heat is delivered by deep geothermal wells (CBS), but so far only to the horticultural sector as main user. Some geothermal projects in horticulture provide excess heat to the built environment nearby.</v>
      </c>
      <c r="E28" s="457"/>
      <c r="F28" s="457"/>
      <c r="G28" s="457"/>
      <c r="H28" s="457"/>
      <c r="I28" s="457"/>
      <c r="J28" s="457"/>
      <c r="K28" s="457"/>
      <c r="L28" s="457"/>
      <c r="M28" s="457"/>
      <c r="N28" s="457"/>
      <c r="O28" s="458"/>
      <c r="AZ28" s="109" t="str">
        <f>D28</f>
        <v>The current size of a typical geothermal project is 15 MWth, based on an application in horticulture, with a range between 7 and 30 MWth (SDE++ data up to spring 2020 including existing projects and applications). This size does already include a capacity factor based on existing projects, being the ratio of actual heat power (production) compared  to the expected power output as estimated in the SDE+ subsidy application (pre-drill). An annual full load production time of 6000 hours is assumed for geothermal applications in the horticultural sector, considered baseload. However actual production time varies between 4000 and  8000 hours. In the built environment, full load hours depend on the size of the heat network: in large networks, 6000 hours are possible, in smaller or new networks, 3500 hours is the default.  Much of the amount of full load hours depends on the heat demand profile, quite often this is in U-shape (like a bath tub): higher demand levels in winter compared to intermediate and summer seasons. Geothermal projects in the horticultural sector are designed to run as much as possible as baseload, so with high full load hours. Other sectors, like industry or other applications , could also apply this technology. 
Lifetime is expected to be up to 30 years, but so far no project has been running more than a few years. Technical or seismic problems have caused some projects to be shut down after a few years. Legislation requires that wells have to be closed up in such a way that gas leakage at the end of their life time is prevented.
The sector estimates that geothermal heat could supply 50 PJ in 2030 and 200 PJ in 2050 (13,9 to 55,6 million MWh), or 5% and 22% of the heat demand below 100oC (SPG 2018).  Currently (2020) about 6,2 PJ  (1,7 million MWh) of heat is delivered by deep geothermal wells (CBS), but so far only to the horticultural sector as main user. Some geothermal projects in horticulture provide excess heat to the built environment nearby.</v>
      </c>
    </row>
    <row r="29" spans="1:52" ht="16.5" thickBot="1" x14ac:dyDescent="0.3">
      <c r="A29" s="1"/>
      <c r="B29" s="444" t="s">
        <v>86</v>
      </c>
      <c r="C29" s="445"/>
      <c r="D29" s="445"/>
      <c r="E29" s="445"/>
      <c r="F29" s="445"/>
      <c r="G29" s="445"/>
      <c r="H29" s="445"/>
      <c r="I29" s="445"/>
      <c r="J29" s="445"/>
      <c r="K29" s="445"/>
      <c r="L29" s="445"/>
      <c r="M29" s="445"/>
      <c r="N29" s="445"/>
      <c r="O29" s="526"/>
      <c r="AZ29" s="109"/>
    </row>
    <row r="30" spans="1:52" ht="16.5" thickBot="1" x14ac:dyDescent="0.3">
      <c r="A30" s="1"/>
      <c r="B30" s="512" t="s">
        <v>87</v>
      </c>
      <c r="C30" s="513"/>
      <c r="D30" s="474">
        <v>2015</v>
      </c>
      <c r="E30" s="475"/>
      <c r="F30" s="475"/>
      <c r="G30" s="475"/>
      <c r="H30" s="475"/>
      <c r="I30" s="475"/>
      <c r="J30" s="475"/>
      <c r="K30" s="475"/>
      <c r="L30" s="475"/>
      <c r="M30" s="475"/>
      <c r="N30" s="475"/>
      <c r="O30" s="476"/>
      <c r="AZ30" s="109"/>
    </row>
    <row r="31" spans="1:52" x14ac:dyDescent="0.25">
      <c r="A31" s="1"/>
      <c r="B31" s="448" t="s">
        <v>88</v>
      </c>
      <c r="C31" s="449"/>
      <c r="D31" s="466" t="s">
        <v>397</v>
      </c>
      <c r="E31" s="477"/>
      <c r="F31" s="477"/>
      <c r="G31" s="437" t="s">
        <v>394</v>
      </c>
      <c r="H31" s="435"/>
      <c r="I31" s="435"/>
      <c r="J31" s="435">
        <v>2030</v>
      </c>
      <c r="K31" s="435"/>
      <c r="L31" s="435"/>
      <c r="M31" s="435">
        <v>2050</v>
      </c>
      <c r="N31" s="435"/>
      <c r="O31" s="436"/>
      <c r="AZ31" s="109"/>
    </row>
    <row r="32" spans="1:52" x14ac:dyDescent="0.25">
      <c r="A32" s="1"/>
      <c r="B32" s="450"/>
      <c r="C32" s="451"/>
      <c r="D32" s="452" t="str">
        <f>'Data input'!D38</f>
        <v xml:space="preserve">€ / </v>
      </c>
      <c r="E32" s="298" t="str">
        <f>IF('Data input'!D16="Please select"," ",'Data input'!D16)</f>
        <v>kW</v>
      </c>
      <c r="F32" s="298"/>
      <c r="G32" s="423">
        <f>'Data input'!G38</f>
        <v>1325</v>
      </c>
      <c r="H32" s="424"/>
      <c r="I32" s="424"/>
      <c r="J32" s="424">
        <f>'Data input'!L38</f>
        <v>0</v>
      </c>
      <c r="K32" s="424"/>
      <c r="L32" s="424"/>
      <c r="M32" s="424">
        <f>'Data input'!Q38</f>
        <v>0</v>
      </c>
      <c r="N32" s="424"/>
      <c r="O32" s="427"/>
      <c r="AZ32" s="109"/>
    </row>
    <row r="33" spans="1:52" ht="16.5" thickBot="1" x14ac:dyDescent="0.3">
      <c r="A33" s="1"/>
      <c r="B33" s="454"/>
      <c r="C33" s="455"/>
      <c r="D33" s="464"/>
      <c r="E33" s="301"/>
      <c r="F33" s="301"/>
      <c r="G33" s="149">
        <f>IF('Data input'!G38="","Min",MIN('Data input'!G38:K38))</f>
        <v>1041</v>
      </c>
      <c r="H33" s="138" t="s">
        <v>395</v>
      </c>
      <c r="I33" s="150">
        <f>IF('Data input'!G38="","Max",MAX('Data input'!G38:K38))</f>
        <v>1614</v>
      </c>
      <c r="J33" s="151" t="str">
        <f>IF('Data input'!L38="","Min",MIN('Data input'!L38:P38))</f>
        <v>Min</v>
      </c>
      <c r="K33" s="138" t="s">
        <v>395</v>
      </c>
      <c r="L33" s="150" t="str">
        <f>IF('Data input'!L38="","Max",MAX('Data input'!L38:P38))</f>
        <v>Max</v>
      </c>
      <c r="M33" s="151" t="str">
        <f>IF('Data input'!Q38="","Min",MIN('Data input'!Q38:U38))</f>
        <v>Min</v>
      </c>
      <c r="N33" s="138" t="s">
        <v>395</v>
      </c>
      <c r="O33" s="152" t="str">
        <f>IF('Data input'!Q38="","Max",MAX('Data input'!Q38:U38))</f>
        <v>Max</v>
      </c>
      <c r="AZ33" s="109"/>
    </row>
    <row r="34" spans="1:52" x14ac:dyDescent="0.25">
      <c r="A34" s="1"/>
      <c r="B34" s="413" t="s">
        <v>326</v>
      </c>
      <c r="C34" s="414"/>
      <c r="D34" s="452" t="str">
        <f>'Data input'!D40</f>
        <v xml:space="preserve">€ / </v>
      </c>
      <c r="E34" s="298" t="str">
        <f>IF('Data input'!D16="Please select"," ",'Data input'!D16)</f>
        <v>kW</v>
      </c>
      <c r="F34" s="298"/>
      <c r="G34" s="423">
        <f>'Data input'!G40</f>
        <v>0</v>
      </c>
      <c r="H34" s="424"/>
      <c r="I34" s="424"/>
      <c r="J34" s="424">
        <f>'Data input'!L40</f>
        <v>0</v>
      </c>
      <c r="K34" s="424"/>
      <c r="L34" s="424"/>
      <c r="M34" s="424">
        <f>'Data input'!Q40</f>
        <v>0</v>
      </c>
      <c r="N34" s="424"/>
      <c r="O34" s="427"/>
      <c r="AZ34" s="109"/>
    </row>
    <row r="35" spans="1:52" ht="16.5" thickBot="1" x14ac:dyDescent="0.3">
      <c r="A35" s="1"/>
      <c r="B35" s="415"/>
      <c r="C35" s="416"/>
      <c r="D35" s="464"/>
      <c r="E35" s="301"/>
      <c r="F35" s="301"/>
      <c r="G35" s="149" t="str">
        <f>IF('Data input'!G40="","Min",MIN('Data input'!G40:K40))</f>
        <v>Min</v>
      </c>
      <c r="H35" s="138" t="s">
        <v>395</v>
      </c>
      <c r="I35" s="150" t="str">
        <f>IF('Data input'!G40="","Max",MAX('Data input'!G40:K40))</f>
        <v>Max</v>
      </c>
      <c r="J35" s="151" t="str">
        <f>IF('Data input'!L40="","Min",MIN('Data input'!L40:P40))</f>
        <v>Min</v>
      </c>
      <c r="K35" s="138" t="s">
        <v>395</v>
      </c>
      <c r="L35" s="150" t="str">
        <f>IF('Data input'!L40="","Max",MAX('Data input'!L40:P40))</f>
        <v>Max</v>
      </c>
      <c r="M35" s="151" t="str">
        <f>IF('Data input'!Q40="","Min",MIN('Data input'!Q40:U40))</f>
        <v>Min</v>
      </c>
      <c r="N35" s="138" t="s">
        <v>395</v>
      </c>
      <c r="O35" s="152" t="str">
        <f>IF('Data input'!Q40="","Max",MAX('Data input'!Q40:U40))</f>
        <v>Max</v>
      </c>
      <c r="AZ35" s="109"/>
    </row>
    <row r="36" spans="1:52" x14ac:dyDescent="0.25">
      <c r="A36" s="1"/>
      <c r="B36" s="448" t="s">
        <v>398</v>
      </c>
      <c r="C36" s="449"/>
      <c r="D36" s="452" t="str">
        <f>'Data input'!D42</f>
        <v xml:space="preserve">€ / </v>
      </c>
      <c r="E36" s="298" t="str">
        <f>IF('Data input'!D16="Please select"," ",'Data input'!D16)</f>
        <v>kW</v>
      </c>
      <c r="F36" s="298"/>
      <c r="G36" s="423">
        <f>'Data input'!G42</f>
        <v>102</v>
      </c>
      <c r="H36" s="424"/>
      <c r="I36" s="424"/>
      <c r="J36" s="424">
        <f>'Data input'!L42</f>
        <v>0</v>
      </c>
      <c r="K36" s="424"/>
      <c r="L36" s="424"/>
      <c r="M36" s="424">
        <f>'Data input'!Q42</f>
        <v>0</v>
      </c>
      <c r="N36" s="424"/>
      <c r="O36" s="427"/>
      <c r="AZ36" s="109"/>
    </row>
    <row r="37" spans="1:52" ht="16.5" thickBot="1" x14ac:dyDescent="0.3">
      <c r="A37" s="1"/>
      <c r="B37" s="454"/>
      <c r="C37" s="455"/>
      <c r="D37" s="464"/>
      <c r="E37" s="301"/>
      <c r="F37" s="301"/>
      <c r="G37" s="149">
        <f>IF('Data input'!G42="","Min",MIN('Data input'!G42:K42))</f>
        <v>99</v>
      </c>
      <c r="H37" s="138" t="s">
        <v>395</v>
      </c>
      <c r="I37" s="150">
        <f>IF('Data input'!G42="","Max",MAX('Data input'!G42:K42))</f>
        <v>126</v>
      </c>
      <c r="J37" s="151" t="str">
        <f>IF('Data input'!L42="","Min",MIN('Data input'!L42:P42))</f>
        <v>Min</v>
      </c>
      <c r="K37" s="138" t="s">
        <v>395</v>
      </c>
      <c r="L37" s="150" t="str">
        <f>IF('Data input'!L42="","Max",MAX('Data input'!L42:P42))</f>
        <v>Max</v>
      </c>
      <c r="M37" s="151" t="str">
        <f>IF('Data input'!Q42="","Min",MIN('Data input'!Q42:U42))</f>
        <v>Min</v>
      </c>
      <c r="N37" s="138" t="s">
        <v>395</v>
      </c>
      <c r="O37" s="152" t="str">
        <f>IF('Data input'!Q42="","Max",MAX('Data input'!Q42:U42))</f>
        <v>Max</v>
      </c>
      <c r="AZ37" s="109"/>
    </row>
    <row r="38" spans="1:52" x14ac:dyDescent="0.25">
      <c r="A38" s="1"/>
      <c r="B38" s="448" t="s">
        <v>399</v>
      </c>
      <c r="C38" s="449"/>
      <c r="D38" s="452" t="str">
        <f>'Data input'!D44</f>
        <v xml:space="preserve">mln. € / </v>
      </c>
      <c r="E38" s="298" t="str">
        <f>IF('Data input'!E44="Please select based on chosen Functional Unit"," ",'Data input'!E44)</f>
        <v xml:space="preserve"> </v>
      </c>
      <c r="F38" s="298"/>
      <c r="G38" s="423">
        <f>'Data input'!G44</f>
        <v>0</v>
      </c>
      <c r="H38" s="424"/>
      <c r="I38" s="424"/>
      <c r="J38" s="424">
        <f>'Data input'!L44</f>
        <v>0</v>
      </c>
      <c r="K38" s="424"/>
      <c r="L38" s="424"/>
      <c r="M38" s="424">
        <f>'Data input'!Q44</f>
        <v>0</v>
      </c>
      <c r="N38" s="424"/>
      <c r="O38" s="427"/>
      <c r="AZ38" s="109"/>
    </row>
    <row r="39" spans="1:52" ht="16.5" thickBot="1" x14ac:dyDescent="0.3">
      <c r="A39" s="1"/>
      <c r="B39" s="454"/>
      <c r="C39" s="455"/>
      <c r="D39" s="453"/>
      <c r="E39" s="465"/>
      <c r="F39" s="465"/>
      <c r="G39" s="148" t="str">
        <f>IF('Data input'!G44="","Min",MIN('Data input'!G44:K44))</f>
        <v>Min</v>
      </c>
      <c r="H39" s="136" t="s">
        <v>395</v>
      </c>
      <c r="I39" s="135" t="str">
        <f>IF('Data input'!G44="","Max",MAX('Data input'!G44:K44))</f>
        <v>Max</v>
      </c>
      <c r="J39" s="153" t="str">
        <f>IF('Data input'!L44="","Min",MIN('Data input'!L44:P44))</f>
        <v>Min</v>
      </c>
      <c r="K39" s="136" t="s">
        <v>395</v>
      </c>
      <c r="L39" s="135" t="str">
        <f>IF('Data input'!L44="","Max",MAX('Data input'!L44:P44))</f>
        <v>Max</v>
      </c>
      <c r="M39" s="153" t="str">
        <f>IF('Data input'!Q44="","Min",MIN('Data input'!Q44:U44))</f>
        <v>Min</v>
      </c>
      <c r="N39" s="136" t="s">
        <v>395</v>
      </c>
      <c r="O39" s="137" t="str">
        <f>IF('Data input'!Q44="","Max",MAX('Data input'!Q44:U44))</f>
        <v>Max</v>
      </c>
      <c r="AZ39" s="109"/>
    </row>
    <row r="40" spans="1:52" ht="212.45" customHeight="1" thickBot="1" x14ac:dyDescent="0.3">
      <c r="A40" s="1"/>
      <c r="B40" s="530" t="s">
        <v>329</v>
      </c>
      <c r="C40" s="560"/>
      <c r="D40" s="561" t="str">
        <f>IF('Data input'!D46="Explain here (e.g. other costs)"," ",'Data input'!D46)</f>
        <v>Investment costs include all the elements which are subsidiable under the SDE+ subsidy regulation. Costs for site preparation, licencing and costs of capital are not included. Investment costs do include costs for the above ground elements: heat exchanger, oil/gas separator, connections. Drilling costs form the bulk part of the investments. Costs for a heat distribution network are not included in the cost figures. The cost figure of 1352 €2020/kWth represents the average of observed capex from producing projects and those that have applied for a SDE+ subsidy (status up to 2020). Varying with scale, investment costs range between 1614 euro2020/kWth and 1041 euro2020/kW for &lt;20 MWth and &gt;20 MWth respectively.
The fixed opex is also based on existing or applied projects and includes costs for electricity. The fixed OPEX cost varies between 99 euro2020/kWth and 126 euro2020/kWth for &lt;20 MWth and &gt;20 MWth respectively. Specific for horticulture - as geothermal heat replaces natural gas based heat production - the need for CO2 fertilisation in the greenhouses remains. The costs for buying external CO2 to compensate own natural gas based CO2 supply are not included in the opex.
No information is available about future costs developments, there could be a cost reduction effect from improved drilling campaigns, currently each project sets up its own drilling timeline, and improved components (casing, pumps, gas separators, heat exchangers), which also could reduce the opex. On the other hand, the use of advanced materials, well integrity and increased safety and monitoring issues require higher investments. It is unknown how this combination of effects will influence future costs.
Cost are adjusted to euro 2015 using a 1.02 factor.</v>
      </c>
      <c r="E40" s="562"/>
      <c r="F40" s="562"/>
      <c r="G40" s="562"/>
      <c r="H40" s="562"/>
      <c r="I40" s="562"/>
      <c r="J40" s="562"/>
      <c r="K40" s="562"/>
      <c r="L40" s="562"/>
      <c r="M40" s="562"/>
      <c r="N40" s="562"/>
      <c r="O40" s="563"/>
      <c r="AZ40" s="109" t="str">
        <f>D40</f>
        <v>Investment costs include all the elements which are subsidiable under the SDE+ subsidy regulation. Costs for site preparation, licencing and costs of capital are not included. Investment costs do include costs for the above ground elements: heat exchanger, oil/gas separator, connections. Drilling costs form the bulk part of the investments. Costs for a heat distribution network are not included in the cost figures. The cost figure of 1352 €2020/kWth represents the average of observed capex from producing projects and those that have applied for a SDE+ subsidy (status up to 2020). Varying with scale, investment costs range between 1614 euro2020/kWth and 1041 euro2020/kW for &lt;20 MWth and &gt;20 MWth respectively.
The fixed opex is also based on existing or applied projects and includes costs for electricity. The fixed OPEX cost varies between 99 euro2020/kWth and 126 euro2020/kWth for &lt;20 MWth and &gt;20 MWth respectively. Specific for horticulture - as geothermal heat replaces natural gas based heat production - the need for CO2 fertilisation in the greenhouses remains. The costs for buying external CO2 to compensate own natural gas based CO2 supply are not included in the opex.
No information is available about future costs developments, there could be a cost reduction effect from improved drilling campaigns, currently each project sets up its own drilling timeline, and improved components (casing, pumps, gas separators, heat exchangers), which also could reduce the opex. On the other hand, the use of advanced materials, well integrity and increased safety and monitoring issues require higher investments. It is unknown how this combination of effects will influence future costs.
Cost are adjusted to euro 2015 using a 1.02 factor.</v>
      </c>
    </row>
    <row r="41" spans="1:52" ht="16.5" thickBot="1" x14ac:dyDescent="0.3">
      <c r="A41" s="1"/>
      <c r="B41" s="444" t="s">
        <v>100</v>
      </c>
      <c r="C41" s="445"/>
      <c r="D41" s="446"/>
      <c r="E41" s="446"/>
      <c r="F41" s="446"/>
      <c r="G41" s="446"/>
      <c r="H41" s="446"/>
      <c r="I41" s="446"/>
      <c r="J41" s="446"/>
      <c r="K41" s="446"/>
      <c r="L41" s="446"/>
      <c r="M41" s="446"/>
      <c r="N41" s="446"/>
      <c r="O41" s="447"/>
      <c r="AZ41" s="109"/>
    </row>
    <row r="42" spans="1:52" x14ac:dyDescent="0.25">
      <c r="A42" s="1"/>
      <c r="B42" s="448" t="s">
        <v>332</v>
      </c>
      <c r="C42" s="449"/>
      <c r="D42" s="466" t="s">
        <v>331</v>
      </c>
      <c r="E42" s="467"/>
      <c r="F42" s="178" t="s">
        <v>314</v>
      </c>
      <c r="G42" s="437" t="s">
        <v>394</v>
      </c>
      <c r="H42" s="435"/>
      <c r="I42" s="435"/>
      <c r="J42" s="435">
        <v>2030</v>
      </c>
      <c r="K42" s="435"/>
      <c r="L42" s="435"/>
      <c r="M42" s="435">
        <v>2050</v>
      </c>
      <c r="N42" s="435"/>
      <c r="O42" s="436"/>
      <c r="AZ42" s="109"/>
    </row>
    <row r="43" spans="1:52" x14ac:dyDescent="0.25">
      <c r="A43" s="1"/>
      <c r="B43" s="450"/>
      <c r="C43" s="451"/>
      <c r="D43" s="419" t="s">
        <v>400</v>
      </c>
      <c r="E43" s="420"/>
      <c r="F43" s="430" t="s">
        <v>134</v>
      </c>
      <c r="G43" s="423">
        <f>'Data input'!G50</f>
        <v>-1</v>
      </c>
      <c r="H43" s="424"/>
      <c r="I43" s="424"/>
      <c r="J43" s="424">
        <f>'Data input'!L50</f>
        <v>1</v>
      </c>
      <c r="K43" s="424"/>
      <c r="L43" s="424"/>
      <c r="M43" s="424">
        <f>'Data input'!Q50</f>
        <v>1</v>
      </c>
      <c r="N43" s="424"/>
      <c r="O43" s="427"/>
      <c r="P43" s="82"/>
      <c r="AZ43" s="109"/>
    </row>
    <row r="44" spans="1:52" x14ac:dyDescent="0.25">
      <c r="A44" s="1"/>
      <c r="B44" s="450"/>
      <c r="C44" s="451"/>
      <c r="D44" s="417" t="str">
        <f>IF('Data input'!D50="Please select main output here"," ",'Data input'!D50)</f>
        <v>Heat</v>
      </c>
      <c r="E44" s="418"/>
      <c r="F44" s="432"/>
      <c r="G44" s="149">
        <f>IF('Data input'!G50="","Min",MIN('Data input'!G50:K50))</f>
        <v>-1</v>
      </c>
      <c r="H44" s="138" t="s">
        <v>395</v>
      </c>
      <c r="I44" s="150">
        <f>IF('Data input'!G50="","Max",MAX('Data input'!G50:K50))</f>
        <v>-1</v>
      </c>
      <c r="J44" s="151">
        <f>IF('Data input'!L50="","Min",MIN('Data input'!L50:P50))</f>
        <v>1</v>
      </c>
      <c r="K44" s="138" t="s">
        <v>395</v>
      </c>
      <c r="L44" s="150">
        <f>IF('Data input'!L50="","Max",MAX('Data input'!L50:P50))</f>
        <v>1</v>
      </c>
      <c r="M44" s="151">
        <f>IF('Data input'!Q50="","Min",MIN('Data input'!Q50:U50))</f>
        <v>1</v>
      </c>
      <c r="N44" s="138" t="s">
        <v>395</v>
      </c>
      <c r="O44" s="152">
        <f>IF('Data input'!Q50="","Max",MAX('Data input'!Q50:U50))</f>
        <v>1</v>
      </c>
      <c r="AZ44" s="109"/>
    </row>
    <row r="45" spans="1:52" x14ac:dyDescent="0.25">
      <c r="A45" s="1"/>
      <c r="B45" s="450"/>
      <c r="C45" s="451"/>
      <c r="D45" s="468" t="str">
        <f>IF('Data input'!D52="Please select"," ",'Data input'!D52)</f>
        <v>Electricity</v>
      </c>
      <c r="E45" s="469"/>
      <c r="F45" s="289" t="s">
        <v>134</v>
      </c>
      <c r="G45" s="423">
        <f>'Data input'!G52</f>
        <v>0.05</v>
      </c>
      <c r="H45" s="424"/>
      <c r="I45" s="424"/>
      <c r="J45" s="424">
        <f>'Data input'!L52</f>
        <v>0.04</v>
      </c>
      <c r="K45" s="424"/>
      <c r="L45" s="424"/>
      <c r="M45" s="424">
        <f>'Data input'!Q52</f>
        <v>0.03</v>
      </c>
      <c r="N45" s="424"/>
      <c r="O45" s="427"/>
      <c r="AZ45" s="109"/>
    </row>
    <row r="46" spans="1:52" x14ac:dyDescent="0.25">
      <c r="A46" s="1"/>
      <c r="B46" s="450"/>
      <c r="C46" s="451"/>
      <c r="D46" s="461"/>
      <c r="E46" s="462"/>
      <c r="F46" s="463"/>
      <c r="G46" s="149">
        <f>IF('Data input'!G52="","Min",MIN('Data input'!G52:K52))</f>
        <v>0.05</v>
      </c>
      <c r="H46" s="138" t="s">
        <v>395</v>
      </c>
      <c r="I46" s="150">
        <f>IF('Data input'!G52="","Max",MAX('Data input'!G52:K52))</f>
        <v>0.05</v>
      </c>
      <c r="J46" s="151">
        <f>IF('Data input'!L52="","Min",MIN('Data input'!L52:P52))</f>
        <v>0.04</v>
      </c>
      <c r="K46" s="138" t="s">
        <v>395</v>
      </c>
      <c r="L46" s="150">
        <f>IF('Data input'!L52="","Max",MAX('Data input'!L52:P52))</f>
        <v>0.04</v>
      </c>
      <c r="M46" s="151">
        <f>IF('Data input'!Q52="","Min",MIN('Data input'!Q52:U52))</f>
        <v>0.03</v>
      </c>
      <c r="N46" s="138" t="s">
        <v>395</v>
      </c>
      <c r="O46" s="152">
        <f>IF('Data input'!Q52="","Max",MAX('Data input'!Q52:U52))</f>
        <v>0.03</v>
      </c>
      <c r="AZ46" s="109"/>
    </row>
    <row r="47" spans="1:52" x14ac:dyDescent="0.25">
      <c r="A47" s="1"/>
      <c r="B47" s="450"/>
      <c r="C47" s="451"/>
      <c r="D47" s="459" t="str">
        <f>IF('Data input'!D54="Please select"," ",'Data input'!D54)</f>
        <v>Geothermal heat</v>
      </c>
      <c r="E47" s="460"/>
      <c r="F47" s="289" t="s">
        <v>134</v>
      </c>
      <c r="G47" s="423">
        <f>'Data input'!G54</f>
        <v>1</v>
      </c>
      <c r="H47" s="424"/>
      <c r="I47" s="424"/>
      <c r="J47" s="424">
        <f>'Data input'!L54</f>
        <v>-1</v>
      </c>
      <c r="K47" s="424"/>
      <c r="L47" s="424"/>
      <c r="M47" s="424">
        <f>'Data input'!Q54</f>
        <v>-1</v>
      </c>
      <c r="N47" s="424"/>
      <c r="O47" s="427"/>
      <c r="AZ47" s="109"/>
    </row>
    <row r="48" spans="1:52" x14ac:dyDescent="0.25">
      <c r="A48" s="1"/>
      <c r="B48" s="450"/>
      <c r="C48" s="451"/>
      <c r="D48" s="461"/>
      <c r="E48" s="462"/>
      <c r="F48" s="463"/>
      <c r="G48" s="149">
        <f>IF('Data input'!G54="","Min",MIN('Data input'!G54:K54))</f>
        <v>1</v>
      </c>
      <c r="H48" s="138" t="s">
        <v>395</v>
      </c>
      <c r="I48" s="150">
        <f>IF('Data input'!G54="","Max",MAX('Data input'!G54:K54))</f>
        <v>1</v>
      </c>
      <c r="J48" s="151">
        <f>IF('Data input'!L54="","Min",MIN('Data input'!L54:P54))</f>
        <v>-1</v>
      </c>
      <c r="K48" s="138" t="s">
        <v>395</v>
      </c>
      <c r="L48" s="150">
        <f>IF('Data input'!L54="","Max",MAX('Data input'!L54:P54))</f>
        <v>-1</v>
      </c>
      <c r="M48" s="151">
        <f>IF('Data input'!Q54="","Min",MIN('Data input'!Q54:U54))</f>
        <v>-1</v>
      </c>
      <c r="N48" s="138" t="s">
        <v>395</v>
      </c>
      <c r="O48" s="152">
        <f>IF('Data input'!Q54="","Max",MAX('Data input'!Q54:U54))</f>
        <v>-1</v>
      </c>
      <c r="AZ48" s="109"/>
    </row>
    <row r="49" spans="1:52" x14ac:dyDescent="0.25">
      <c r="A49" s="1"/>
      <c r="B49" s="450"/>
      <c r="C49" s="451"/>
      <c r="D49" s="459" t="str">
        <f>IF('Data input'!D56="Please select"," ",'Data input'!D56)</f>
        <v xml:space="preserve"> </v>
      </c>
      <c r="E49" s="460"/>
      <c r="F49" s="289" t="s">
        <v>134</v>
      </c>
      <c r="G49" s="423">
        <f>'Data input'!G56</f>
        <v>0</v>
      </c>
      <c r="H49" s="424"/>
      <c r="I49" s="424"/>
      <c r="J49" s="424">
        <f>'Data input'!L56</f>
        <v>0</v>
      </c>
      <c r="K49" s="424"/>
      <c r="L49" s="424"/>
      <c r="M49" s="424">
        <f>'Data input'!Q56</f>
        <v>0</v>
      </c>
      <c r="N49" s="424"/>
      <c r="O49" s="427"/>
      <c r="AZ49" s="109"/>
    </row>
    <row r="50" spans="1:52" ht="16.5" thickBot="1" x14ac:dyDescent="0.3">
      <c r="A50" s="1"/>
      <c r="B50" s="450"/>
      <c r="C50" s="451"/>
      <c r="D50" s="565"/>
      <c r="E50" s="566"/>
      <c r="F50" s="567"/>
      <c r="G50" s="148" t="str">
        <f>IF('Data input'!G56="","Min",MIN('Data input'!G56:K56))</f>
        <v>Min</v>
      </c>
      <c r="H50" s="136" t="s">
        <v>395</v>
      </c>
      <c r="I50" s="135" t="str">
        <f>IF('Data input'!G56="","Max",MAX('Data input'!G56:K56))</f>
        <v>Max</v>
      </c>
      <c r="J50" s="153" t="str">
        <f>IF('Data input'!L56="","Min",MIN('Data input'!L56:P56))</f>
        <v>Min</v>
      </c>
      <c r="K50" s="136" t="s">
        <v>395</v>
      </c>
      <c r="L50" s="135" t="str">
        <f>IF('Data input'!L56="","Max",MAX('Data input'!L56:P56))</f>
        <v>Max</v>
      </c>
      <c r="M50" s="153" t="str">
        <f>IF('Data input'!Q56="","Min",MIN('Data input'!Q56:U56))</f>
        <v>Min</v>
      </c>
      <c r="N50" s="136" t="s">
        <v>395</v>
      </c>
      <c r="O50" s="137" t="str">
        <f>IF('Data input'!Q56="","Max",MAX('Data input'!Q56:U56))</f>
        <v>Max</v>
      </c>
      <c r="AZ50" s="109"/>
    </row>
    <row r="51" spans="1:52" ht="48" thickBot="1" x14ac:dyDescent="0.3">
      <c r="A51" s="1"/>
      <c r="B51" s="448" t="s">
        <v>333</v>
      </c>
      <c r="C51" s="564"/>
      <c r="D51" s="456" t="str">
        <f>IF('Data input'!D58="Explain here (e.g. flexible in and out)"," ",'Data input'!D58)</f>
        <v>For 2020, a Coefficent of Performance (CoP or the ratio of required electricity input per heat output, the combined inputs are the energy required per unit of energy output) of 21,4 is assumed (average of SDE++ data available as of 2020), for 2030, 25  (high end of SDE++ data) and, for 2050, 30. Technically, a CoP up to 50 could be reached but this would require the use of other casing materials, special pumps, etc.</v>
      </c>
      <c r="E51" s="457"/>
      <c r="F51" s="457"/>
      <c r="G51" s="457"/>
      <c r="H51" s="457"/>
      <c r="I51" s="457"/>
      <c r="J51" s="457"/>
      <c r="K51" s="457"/>
      <c r="L51" s="457"/>
      <c r="M51" s="457"/>
      <c r="N51" s="457"/>
      <c r="O51" s="458"/>
      <c r="AZ51" s="109" t="str">
        <f>D51</f>
        <v>For 2020, a Coefficent of Performance (CoP or the ratio of required electricity input per heat output, the combined inputs are the energy required per unit of energy output) of 21,4 is assumed (average of SDE++ data available as of 2020), for 2030, 25  (high end of SDE++ data) and, for 2050, 30. Technically, a CoP up to 50 could be reached but this would require the use of other casing materials, special pumps, etc.</v>
      </c>
    </row>
    <row r="52" spans="1:52" ht="16.5" thickBot="1" x14ac:dyDescent="0.3">
      <c r="A52" s="1"/>
      <c r="B52" s="444" t="s">
        <v>334</v>
      </c>
      <c r="C52" s="445"/>
      <c r="D52" s="446"/>
      <c r="E52" s="446"/>
      <c r="F52" s="446"/>
      <c r="G52" s="446"/>
      <c r="H52" s="446"/>
      <c r="I52" s="446"/>
      <c r="J52" s="446"/>
      <c r="K52" s="446"/>
      <c r="L52" s="446"/>
      <c r="M52" s="446"/>
      <c r="N52" s="446"/>
      <c r="O52" s="447"/>
      <c r="AZ52" s="109"/>
    </row>
    <row r="53" spans="1:52" x14ac:dyDescent="0.25">
      <c r="A53" s="1"/>
      <c r="B53" s="448" t="s">
        <v>335</v>
      </c>
      <c r="C53" s="449"/>
      <c r="D53" s="437" t="s">
        <v>336</v>
      </c>
      <c r="E53" s="435"/>
      <c r="F53" s="178" t="s">
        <v>314</v>
      </c>
      <c r="G53" s="437" t="s">
        <v>394</v>
      </c>
      <c r="H53" s="435"/>
      <c r="I53" s="435"/>
      <c r="J53" s="435">
        <v>2030</v>
      </c>
      <c r="K53" s="435"/>
      <c r="L53" s="435"/>
      <c r="M53" s="435">
        <v>2050</v>
      </c>
      <c r="N53" s="435"/>
      <c r="O53" s="436"/>
      <c r="AZ53" s="109"/>
    </row>
    <row r="54" spans="1:52" x14ac:dyDescent="0.25">
      <c r="A54" s="1"/>
      <c r="B54" s="450"/>
      <c r="C54" s="451"/>
      <c r="D54" s="438" t="str">
        <f>IF('Data input'!D62="Specify here"," ",'Data input'!D62)</f>
        <v xml:space="preserve"> </v>
      </c>
      <c r="E54" s="439"/>
      <c r="F54" s="425" t="str">
        <f>IF('Data input'!F62="Specify here"," ",'Data input'!F62)</f>
        <v xml:space="preserve"> </v>
      </c>
      <c r="G54" s="423">
        <f>'Data input'!G62</f>
        <v>0</v>
      </c>
      <c r="H54" s="424"/>
      <c r="I54" s="424"/>
      <c r="J54" s="424">
        <f>'Data input'!L62</f>
        <v>0</v>
      </c>
      <c r="K54" s="424"/>
      <c r="L54" s="424"/>
      <c r="M54" s="424">
        <f>'Data input'!Q62</f>
        <v>0</v>
      </c>
      <c r="N54" s="424"/>
      <c r="O54" s="427"/>
      <c r="AZ54" s="109"/>
    </row>
    <row r="55" spans="1:52" x14ac:dyDescent="0.25">
      <c r="A55" s="1"/>
      <c r="B55" s="450"/>
      <c r="C55" s="451"/>
      <c r="D55" s="438"/>
      <c r="E55" s="439"/>
      <c r="F55" s="425"/>
      <c r="G55" s="149" t="str">
        <f>IF('Data input'!G62="","Min",MIN('Data input'!G62:K62))</f>
        <v>Min</v>
      </c>
      <c r="H55" s="138" t="s">
        <v>395</v>
      </c>
      <c r="I55" s="150" t="str">
        <f>IF('Data input'!G62="","Max",MAX('Data input'!G62:K62))</f>
        <v>Max</v>
      </c>
      <c r="J55" s="151" t="str">
        <f>IF('Data input'!L62="","Min",MIN('Data input'!L62:P62))</f>
        <v>Min</v>
      </c>
      <c r="K55" s="138" t="s">
        <v>395</v>
      </c>
      <c r="L55" s="150" t="str">
        <f>IF('Data input'!L62="","Max",MAX('Data input'!L62:P62))</f>
        <v>Max</v>
      </c>
      <c r="M55" s="151" t="str">
        <f>IF('Data input'!Q62="","Min",MIN('Data input'!Q62:U62))</f>
        <v>Min</v>
      </c>
      <c r="N55" s="138" t="s">
        <v>395</v>
      </c>
      <c r="O55" s="152" t="str">
        <f>IF('Data input'!Q62="","Max",MAX('Data input'!Q62:U62))</f>
        <v>Max</v>
      </c>
      <c r="AZ55" s="109"/>
    </row>
    <row r="56" spans="1:52" x14ac:dyDescent="0.25">
      <c r="A56" s="1"/>
      <c r="B56" s="450"/>
      <c r="C56" s="451"/>
      <c r="D56" s="438" t="str">
        <f>IF('Data input'!D64="Specify here"," ",'Data input'!D64)</f>
        <v xml:space="preserve"> </v>
      </c>
      <c r="E56" s="439"/>
      <c r="F56" s="425" t="str">
        <f>IF('Data input'!F64="Specify here"," ",'Data input'!F64)</f>
        <v xml:space="preserve"> </v>
      </c>
      <c r="G56" s="423">
        <f>'Data input'!G64</f>
        <v>0</v>
      </c>
      <c r="H56" s="424"/>
      <c r="I56" s="424"/>
      <c r="J56" s="424">
        <f>'Data input'!L64</f>
        <v>0</v>
      </c>
      <c r="K56" s="424"/>
      <c r="L56" s="424"/>
      <c r="M56" s="424">
        <f>'Data input'!Q64</f>
        <v>0</v>
      </c>
      <c r="N56" s="424"/>
      <c r="O56" s="427"/>
      <c r="AZ56" s="109"/>
    </row>
    <row r="57" spans="1:52" ht="16.5" thickBot="1" x14ac:dyDescent="0.3">
      <c r="A57" s="1"/>
      <c r="B57" s="450"/>
      <c r="C57" s="451"/>
      <c r="D57" s="441"/>
      <c r="E57" s="442"/>
      <c r="F57" s="426"/>
      <c r="G57" s="148" t="str">
        <f>IF('Data input'!G64="","Min",MIN('Data input'!G64:K64))</f>
        <v>Min</v>
      </c>
      <c r="H57" s="136" t="s">
        <v>395</v>
      </c>
      <c r="I57" s="135" t="str">
        <f>IF('Data input'!G64="","Max",MAX('Data input'!G64:K64))</f>
        <v>Max</v>
      </c>
      <c r="J57" s="153" t="str">
        <f>IF('Data input'!L64="","Min",MIN('Data input'!L64:P64))</f>
        <v>Min</v>
      </c>
      <c r="K57" s="136" t="s">
        <v>395</v>
      </c>
      <c r="L57" s="135" t="str">
        <f>IF('Data input'!L64="","Max",MAX('Data input'!L64:P64))</f>
        <v>Max</v>
      </c>
      <c r="M57" s="153" t="str">
        <f>IF('Data input'!Q64="","Min",MIN('Data input'!Q64:U64))</f>
        <v>Min</v>
      </c>
      <c r="N57" s="136" t="s">
        <v>395</v>
      </c>
      <c r="O57" s="137" t="str">
        <f>IF('Data input'!Q64="","Max",MAX('Data input'!Q64:U64))</f>
        <v>Max</v>
      </c>
      <c r="AZ57" s="109"/>
    </row>
    <row r="58" spans="1:52" ht="16.5" thickBot="1" x14ac:dyDescent="0.3">
      <c r="A58" s="1"/>
      <c r="B58" s="550" t="s">
        <v>337</v>
      </c>
      <c r="C58" s="551"/>
      <c r="D58" s="556" t="str">
        <f>IF('Data input'!D66="Explain here"," ",'Data input'!D66)</f>
        <v xml:space="preserve"> </v>
      </c>
      <c r="E58" s="557"/>
      <c r="F58" s="557"/>
      <c r="G58" s="557"/>
      <c r="H58" s="557"/>
      <c r="I58" s="557"/>
      <c r="J58" s="557"/>
      <c r="K58" s="557"/>
      <c r="L58" s="557"/>
      <c r="M58" s="557"/>
      <c r="N58" s="557"/>
      <c r="O58" s="578"/>
      <c r="AZ58" s="109" t="str">
        <f>D58</f>
        <v xml:space="preserve"> </v>
      </c>
    </row>
    <row r="59" spans="1:52" ht="16.5" thickBot="1" x14ac:dyDescent="0.3">
      <c r="A59" s="1"/>
      <c r="B59" s="444" t="s">
        <v>339</v>
      </c>
      <c r="C59" s="445"/>
      <c r="D59" s="446"/>
      <c r="E59" s="446"/>
      <c r="F59" s="446"/>
      <c r="G59" s="446"/>
      <c r="H59" s="446"/>
      <c r="I59" s="446"/>
      <c r="J59" s="446"/>
      <c r="K59" s="446"/>
      <c r="L59" s="446"/>
      <c r="M59" s="446"/>
      <c r="N59" s="446"/>
      <c r="O59" s="447"/>
      <c r="AZ59" s="109"/>
    </row>
    <row r="60" spans="1:52" x14ac:dyDescent="0.25">
      <c r="A60" s="1"/>
      <c r="B60" s="448" t="s">
        <v>109</v>
      </c>
      <c r="C60" s="449"/>
      <c r="D60" s="437" t="s">
        <v>340</v>
      </c>
      <c r="E60" s="435"/>
      <c r="F60" s="178" t="s">
        <v>314</v>
      </c>
      <c r="G60" s="437" t="s">
        <v>394</v>
      </c>
      <c r="H60" s="435"/>
      <c r="I60" s="435"/>
      <c r="J60" s="435">
        <v>2030</v>
      </c>
      <c r="K60" s="435"/>
      <c r="L60" s="435"/>
      <c r="M60" s="435">
        <v>2050</v>
      </c>
      <c r="N60" s="435"/>
      <c r="O60" s="436"/>
      <c r="AZ60" s="109"/>
    </row>
    <row r="61" spans="1:52" x14ac:dyDescent="0.25">
      <c r="A61" s="1"/>
      <c r="B61" s="450"/>
      <c r="C61" s="451"/>
      <c r="D61" s="438" t="str">
        <f>IF('Data input'!D70="Please select"," ",'Data input'!D70)</f>
        <v xml:space="preserve"> </v>
      </c>
      <c r="E61" s="439"/>
      <c r="F61" s="440" t="str">
        <f>IF('Data input'!F70="Please select"," ",'Data input'!F70)</f>
        <v xml:space="preserve"> </v>
      </c>
      <c r="G61" s="423">
        <f>'Data input'!G70</f>
        <v>0</v>
      </c>
      <c r="H61" s="424"/>
      <c r="I61" s="424"/>
      <c r="J61" s="424">
        <f>'Data input'!L70</f>
        <v>0</v>
      </c>
      <c r="K61" s="424"/>
      <c r="L61" s="424"/>
      <c r="M61" s="424">
        <f>'Data input'!Q70</f>
        <v>0</v>
      </c>
      <c r="N61" s="424"/>
      <c r="O61" s="427"/>
      <c r="AZ61" s="109"/>
    </row>
    <row r="62" spans="1:52" x14ac:dyDescent="0.25">
      <c r="A62" s="1"/>
      <c r="B62" s="450"/>
      <c r="C62" s="451"/>
      <c r="D62" s="438"/>
      <c r="E62" s="439"/>
      <c r="F62" s="440"/>
      <c r="G62" s="149" t="str">
        <f>IF('Data input'!G70="","Min",MIN('Data input'!G70:K70))</f>
        <v>Min</v>
      </c>
      <c r="H62" s="138" t="s">
        <v>395</v>
      </c>
      <c r="I62" s="150" t="str">
        <f>IF('Data input'!G70="","Max",MAX('Data input'!G70:K70))</f>
        <v>Max</v>
      </c>
      <c r="J62" s="151" t="str">
        <f>IF('Data input'!L70="","Min",MIN('Data input'!L70:P70))</f>
        <v>Min</v>
      </c>
      <c r="K62" s="138" t="s">
        <v>395</v>
      </c>
      <c r="L62" s="150" t="str">
        <f>IF('Data input'!L70="","Max",MAX('Data input'!L70:P70))</f>
        <v>Max</v>
      </c>
      <c r="M62" s="151" t="str">
        <f>IF('Data input'!Q70="","Min",MIN('Data input'!Q70:U70))</f>
        <v>Min</v>
      </c>
      <c r="N62" s="138" t="s">
        <v>395</v>
      </c>
      <c r="O62" s="152" t="str">
        <f>IF('Data input'!Q70="","Max",MAX('Data input'!Q70:U70))</f>
        <v>Max</v>
      </c>
      <c r="AZ62" s="109"/>
    </row>
    <row r="63" spans="1:52" x14ac:dyDescent="0.25">
      <c r="A63" s="1"/>
      <c r="B63" s="450"/>
      <c r="C63" s="451"/>
      <c r="D63" s="438" t="str">
        <f>IF('Data input'!D72="Please select"," ",'Data input'!D72)</f>
        <v xml:space="preserve"> </v>
      </c>
      <c r="E63" s="439"/>
      <c r="F63" s="440" t="str">
        <f>IF('Data input'!F72="Please select"," ",'Data input'!F72)</f>
        <v xml:space="preserve"> </v>
      </c>
      <c r="G63" s="423">
        <f>'Data input'!G72</f>
        <v>0</v>
      </c>
      <c r="H63" s="424"/>
      <c r="I63" s="424"/>
      <c r="J63" s="424">
        <f>'Data input'!L72</f>
        <v>0</v>
      </c>
      <c r="K63" s="424"/>
      <c r="L63" s="424"/>
      <c r="M63" s="424">
        <f>'Data input'!Q72</f>
        <v>0</v>
      </c>
      <c r="N63" s="424"/>
      <c r="O63" s="427"/>
      <c r="AZ63" s="109"/>
    </row>
    <row r="64" spans="1:52" x14ac:dyDescent="0.25">
      <c r="A64" s="1"/>
      <c r="B64" s="450"/>
      <c r="C64" s="451"/>
      <c r="D64" s="438"/>
      <c r="E64" s="439"/>
      <c r="F64" s="440"/>
      <c r="G64" s="149" t="str">
        <f>IF('Data input'!G72="","Min",MIN('Data input'!G72:K72))</f>
        <v>Min</v>
      </c>
      <c r="H64" s="138" t="s">
        <v>395</v>
      </c>
      <c r="I64" s="150" t="str">
        <f>IF('Data input'!G72="","Max",MAX('Data input'!G72:K72))</f>
        <v>Max</v>
      </c>
      <c r="J64" s="151" t="str">
        <f>IF('Data input'!L72="","Min",MIN('Data input'!L72:P72))</f>
        <v>Min</v>
      </c>
      <c r="K64" s="138" t="s">
        <v>395</v>
      </c>
      <c r="L64" s="150" t="str">
        <f>IF('Data input'!L72="","Max",MAX('Data input'!L72:P72))</f>
        <v>Max</v>
      </c>
      <c r="M64" s="151" t="str">
        <f>IF('Data input'!Q72="","Min",MIN('Data input'!Q72:U72))</f>
        <v>Min</v>
      </c>
      <c r="N64" s="138" t="s">
        <v>395</v>
      </c>
      <c r="O64" s="152" t="str">
        <f>IF('Data input'!Q72="","Max",MAX('Data input'!Q72:U72))</f>
        <v>Max</v>
      </c>
      <c r="AZ64" s="109"/>
    </row>
    <row r="65" spans="1:52" x14ac:dyDescent="0.25">
      <c r="A65" s="1"/>
      <c r="B65" s="450"/>
      <c r="C65" s="451"/>
      <c r="D65" s="438" t="str">
        <f>IF('Data input'!D74="Please select"," ",'Data input'!D74)</f>
        <v xml:space="preserve"> </v>
      </c>
      <c r="E65" s="439"/>
      <c r="F65" s="440" t="str">
        <f>IF('Data input'!F74="Please select"," ",'Data input'!F74)</f>
        <v xml:space="preserve"> </v>
      </c>
      <c r="G65" s="423">
        <f>'Data input'!G74</f>
        <v>0</v>
      </c>
      <c r="H65" s="424"/>
      <c r="I65" s="424"/>
      <c r="J65" s="424">
        <f>'Data input'!L74</f>
        <v>0</v>
      </c>
      <c r="K65" s="424"/>
      <c r="L65" s="424"/>
      <c r="M65" s="424">
        <f>'Data input'!Q74</f>
        <v>0</v>
      </c>
      <c r="N65" s="424"/>
      <c r="O65" s="427"/>
      <c r="AZ65" s="109"/>
    </row>
    <row r="66" spans="1:52" x14ac:dyDescent="0.25">
      <c r="A66" s="1"/>
      <c r="B66" s="450"/>
      <c r="C66" s="451"/>
      <c r="D66" s="438"/>
      <c r="E66" s="439"/>
      <c r="F66" s="440"/>
      <c r="G66" s="149" t="str">
        <f>IF('Data input'!G74="","Min",MIN('Data input'!G74:K74))</f>
        <v>Min</v>
      </c>
      <c r="H66" s="138" t="s">
        <v>395</v>
      </c>
      <c r="I66" s="150" t="str">
        <f>IF('Data input'!G74="","Max",MAX('Data input'!G74:K74))</f>
        <v>Max</v>
      </c>
      <c r="J66" s="151" t="str">
        <f>IF('Data input'!L74="","Min",MIN('Data input'!L74:P74))</f>
        <v>Min</v>
      </c>
      <c r="K66" s="138" t="s">
        <v>395</v>
      </c>
      <c r="L66" s="150" t="str">
        <f>IF('Data input'!L74="","Max",MAX('Data input'!L74:P74))</f>
        <v>Max</v>
      </c>
      <c r="M66" s="151" t="str">
        <f>IF('Data input'!Q74="","Min",MIN('Data input'!Q74:U74))</f>
        <v>Min</v>
      </c>
      <c r="N66" s="138" t="s">
        <v>395</v>
      </c>
      <c r="O66" s="152" t="str">
        <f>IF('Data input'!Q74="","Max",MAX('Data input'!Q74:U74))</f>
        <v>Max</v>
      </c>
      <c r="AZ66" s="109"/>
    </row>
    <row r="67" spans="1:52" x14ac:dyDescent="0.25">
      <c r="A67" s="1"/>
      <c r="B67" s="450"/>
      <c r="C67" s="451"/>
      <c r="D67" s="438" t="str">
        <f>IF('Data input'!D76="Please select"," ",'Data input'!D76)</f>
        <v xml:space="preserve"> </v>
      </c>
      <c r="E67" s="439"/>
      <c r="F67" s="440" t="str">
        <f>IF('Data input'!F76="Please select"," ",'Data input'!F76)</f>
        <v xml:space="preserve"> </v>
      </c>
      <c r="G67" s="423">
        <f>'Data input'!G76</f>
        <v>0</v>
      </c>
      <c r="H67" s="424"/>
      <c r="I67" s="424"/>
      <c r="J67" s="424">
        <f>'Data input'!L76</f>
        <v>0</v>
      </c>
      <c r="K67" s="424"/>
      <c r="L67" s="424"/>
      <c r="M67" s="424">
        <f>'Data input'!Q76</f>
        <v>0</v>
      </c>
      <c r="N67" s="424"/>
      <c r="O67" s="427"/>
      <c r="AZ67" s="109"/>
    </row>
    <row r="68" spans="1:52" ht="16.5" thickBot="1" x14ac:dyDescent="0.3">
      <c r="A68" s="1"/>
      <c r="B68" s="450"/>
      <c r="C68" s="451"/>
      <c r="D68" s="441"/>
      <c r="E68" s="442"/>
      <c r="F68" s="443"/>
      <c r="G68" s="148" t="str">
        <f>IF('Data input'!G76="","Min",MIN('Data input'!G76:K76))</f>
        <v>Min</v>
      </c>
      <c r="H68" s="136" t="s">
        <v>395</v>
      </c>
      <c r="I68" s="135" t="str">
        <f>IF('Data input'!G76="","Max",MAX('Data input'!G76:K76))</f>
        <v>Max</v>
      </c>
      <c r="J68" s="153" t="str">
        <f>IF('Data input'!L76="","Min",MIN('Data input'!L76:P76))</f>
        <v>Min</v>
      </c>
      <c r="K68" s="136" t="s">
        <v>395</v>
      </c>
      <c r="L68" s="135" t="str">
        <f>IF('Data input'!L76="","Max",MAX('Data input'!L76:P76))</f>
        <v>Max</v>
      </c>
      <c r="M68" s="153" t="str">
        <f>IF('Data input'!Q76="","Min",MIN('Data input'!Q76:U76))</f>
        <v>Min</v>
      </c>
      <c r="N68" s="136" t="s">
        <v>395</v>
      </c>
      <c r="O68" s="137" t="str">
        <f>IF('Data input'!Q76="","Max",MAX('Data input'!Q76:U76))</f>
        <v>Max</v>
      </c>
      <c r="AZ68" s="109"/>
    </row>
    <row r="69" spans="1:52" ht="48" thickBot="1" x14ac:dyDescent="0.3">
      <c r="A69" s="1"/>
      <c r="B69" s="448" t="s">
        <v>341</v>
      </c>
      <c r="C69" s="564"/>
      <c r="D69" s="456" t="str">
        <f>IF('Data input'!D78="Explain here (e.g. emission factors if calculated)"," ",'Data input'!D78)</f>
        <v>Some CH4 emissions could occur while degassing or decompressing the hot brine water from the production well. However, no information is available about the possible leakage rate.  TNO is currently doing research on this matter.  If the gas separator is not working properly, or the separated gas is not completely combusted, CH4 emissions could also occur.</v>
      </c>
      <c r="E69" s="457"/>
      <c r="F69" s="457"/>
      <c r="G69" s="457"/>
      <c r="H69" s="457"/>
      <c r="I69" s="457"/>
      <c r="J69" s="457"/>
      <c r="K69" s="457"/>
      <c r="L69" s="457"/>
      <c r="M69" s="457"/>
      <c r="N69" s="457"/>
      <c r="O69" s="458"/>
      <c r="AZ69" s="109" t="str">
        <f>D69</f>
        <v>Some CH4 emissions could occur while degassing or decompressing the hot brine water from the production well. However, no information is available about the possible leakage rate.  TNO is currently doing research on this matter.  If the gas separator is not working properly, or the separated gas is not completely combusted, CH4 emissions could also occur.</v>
      </c>
    </row>
    <row r="70" spans="1:52" ht="16.5" thickBot="1" x14ac:dyDescent="0.3">
      <c r="A70" s="1"/>
      <c r="B70" s="555" t="s">
        <v>343</v>
      </c>
      <c r="C70" s="446"/>
      <c r="D70" s="446"/>
      <c r="E70" s="446"/>
      <c r="F70" s="446"/>
      <c r="G70" s="446"/>
      <c r="H70" s="446"/>
      <c r="I70" s="446"/>
      <c r="J70" s="446"/>
      <c r="K70" s="446"/>
      <c r="L70" s="446"/>
      <c r="M70" s="446"/>
      <c r="N70" s="446"/>
      <c r="O70" s="447"/>
      <c r="AZ70" s="109"/>
    </row>
    <row r="71" spans="1:52" x14ac:dyDescent="0.25">
      <c r="A71" s="1"/>
      <c r="B71" s="433" t="s">
        <v>401</v>
      </c>
      <c r="C71" s="434"/>
      <c r="D71" s="437" t="s">
        <v>314</v>
      </c>
      <c r="E71" s="435"/>
      <c r="F71" s="503"/>
      <c r="G71" s="437" t="s">
        <v>394</v>
      </c>
      <c r="H71" s="435"/>
      <c r="I71" s="435"/>
      <c r="J71" s="435">
        <v>2030</v>
      </c>
      <c r="K71" s="435"/>
      <c r="L71" s="435"/>
      <c r="M71" s="435">
        <v>2050</v>
      </c>
      <c r="N71" s="435"/>
      <c r="O71" s="436"/>
      <c r="AZ71" s="109"/>
    </row>
    <row r="72" spans="1:52" x14ac:dyDescent="0.25">
      <c r="A72" s="1"/>
      <c r="B72" s="428" t="str">
        <f>IF('Data input'!B82="Add here"," ",'Data input'!B82)</f>
        <v xml:space="preserve"> </v>
      </c>
      <c r="C72" s="266"/>
      <c r="D72" s="575" t="str">
        <f>IF('Data input'!D82="Specify here"," ",'Data input'!D82)</f>
        <v xml:space="preserve"> </v>
      </c>
      <c r="E72" s="576"/>
      <c r="F72" s="577"/>
      <c r="G72" s="423">
        <f>'Data input'!G82</f>
        <v>0</v>
      </c>
      <c r="H72" s="424"/>
      <c r="I72" s="424"/>
      <c r="J72" s="424">
        <f>'Data input'!L82</f>
        <v>0</v>
      </c>
      <c r="K72" s="424"/>
      <c r="L72" s="424"/>
      <c r="M72" s="424">
        <f>'Data input'!Q82</f>
        <v>0</v>
      </c>
      <c r="N72" s="424"/>
      <c r="O72" s="427"/>
      <c r="AZ72" s="109"/>
    </row>
    <row r="73" spans="1:52" x14ac:dyDescent="0.25">
      <c r="A73" s="1"/>
      <c r="B73" s="428"/>
      <c r="C73" s="266"/>
      <c r="D73" s="575"/>
      <c r="E73" s="576"/>
      <c r="F73" s="577"/>
      <c r="G73" s="149" t="str">
        <f>IF('Data input'!G82="","Min",MIN('Data input'!G82:K82))</f>
        <v>Min</v>
      </c>
      <c r="H73" s="138" t="s">
        <v>395</v>
      </c>
      <c r="I73" s="150" t="str">
        <f>IF('Data input'!G82="","Max",MAX('Data input'!G82:K82))</f>
        <v>Max</v>
      </c>
      <c r="J73" s="151" t="str">
        <f>IF('Data input'!L82="","Min",MIN('Data input'!L82:P82))</f>
        <v>Min</v>
      </c>
      <c r="K73" s="138" t="s">
        <v>395</v>
      </c>
      <c r="L73" s="150" t="str">
        <f>IF('Data input'!L82="","Max",MAX('Data input'!L82:P82))</f>
        <v>Max</v>
      </c>
      <c r="M73" s="151" t="str">
        <f>IF('Data input'!Q82="","Min",MIN('Data input'!Q82:U82))</f>
        <v>Min</v>
      </c>
      <c r="N73" s="138" t="s">
        <v>395</v>
      </c>
      <c r="O73" s="152" t="str">
        <f>IF('Data input'!Q82="","Max",MAX('Data input'!Q82:U82))</f>
        <v>Max</v>
      </c>
      <c r="AZ73" s="109"/>
    </row>
    <row r="74" spans="1:52" x14ac:dyDescent="0.25">
      <c r="A74" s="1"/>
      <c r="B74" s="428" t="str">
        <f>IF('Data input'!B84="Add here"," ",'Data input'!B84)</f>
        <v xml:space="preserve"> </v>
      </c>
      <c r="C74" s="266"/>
      <c r="D74" s="429" t="str">
        <f>IF('Data input'!D84="Specify here"," ",'Data input'!D84)</f>
        <v xml:space="preserve"> </v>
      </c>
      <c r="E74" s="430"/>
      <c r="F74" s="430"/>
      <c r="G74" s="423">
        <f>'Data input'!G84</f>
        <v>0</v>
      </c>
      <c r="H74" s="424"/>
      <c r="I74" s="424"/>
      <c r="J74" s="424">
        <f>'Data input'!L84</f>
        <v>0</v>
      </c>
      <c r="K74" s="424"/>
      <c r="L74" s="424"/>
      <c r="M74" s="424">
        <f>'Data input'!Q84</f>
        <v>0</v>
      </c>
      <c r="N74" s="424"/>
      <c r="O74" s="427"/>
      <c r="AZ74" s="109"/>
    </row>
    <row r="75" spans="1:52" x14ac:dyDescent="0.25">
      <c r="A75" s="1"/>
      <c r="B75" s="428"/>
      <c r="C75" s="266"/>
      <c r="D75" s="431"/>
      <c r="E75" s="432"/>
      <c r="F75" s="432"/>
      <c r="G75" s="149" t="str">
        <f>IF('Data input'!G84="","Min",MIN('Data input'!G84:K84))</f>
        <v>Min</v>
      </c>
      <c r="H75" s="138" t="s">
        <v>395</v>
      </c>
      <c r="I75" s="150" t="str">
        <f>IF('Data input'!G84="","Max",MAX('Data input'!G84:K84))</f>
        <v>Max</v>
      </c>
      <c r="J75" s="151" t="str">
        <f>IF('Data input'!L84="","Min",MIN('Data input'!L84:P84))</f>
        <v>Min</v>
      </c>
      <c r="K75" s="138" t="s">
        <v>395</v>
      </c>
      <c r="L75" s="150" t="str">
        <f>IF('Data input'!L84="","Max",MAX('Data input'!L84:P84))</f>
        <v>Max</v>
      </c>
      <c r="M75" s="151" t="str">
        <f>IF('Data input'!Q84="","Min",MIN('Data input'!Q84:U84))</f>
        <v>Min</v>
      </c>
      <c r="N75" s="138" t="s">
        <v>395</v>
      </c>
      <c r="O75" s="152" t="str">
        <f>IF('Data input'!Q84="","Max",MAX('Data input'!Q84:U84))</f>
        <v>Max</v>
      </c>
      <c r="AZ75" s="109"/>
    </row>
    <row r="76" spans="1:52" x14ac:dyDescent="0.25">
      <c r="A76" s="1"/>
      <c r="B76" s="428" t="str">
        <f>IF('Data input'!B86="Add here"," ",'Data input'!B86)</f>
        <v xml:space="preserve"> </v>
      </c>
      <c r="C76" s="266"/>
      <c r="D76" s="429" t="str">
        <f>IF('Data input'!D86="Specify here"," ",'Data input'!D86)</f>
        <v xml:space="preserve"> </v>
      </c>
      <c r="E76" s="430"/>
      <c r="F76" s="430"/>
      <c r="G76" s="423">
        <f>'Data input'!G86</f>
        <v>0</v>
      </c>
      <c r="H76" s="424"/>
      <c r="I76" s="424"/>
      <c r="J76" s="424">
        <f>'Data input'!L86</f>
        <v>0</v>
      </c>
      <c r="K76" s="424"/>
      <c r="L76" s="424"/>
      <c r="M76" s="424">
        <f>'Data input'!Q86</f>
        <v>0</v>
      </c>
      <c r="N76" s="424"/>
      <c r="O76" s="427"/>
      <c r="AZ76" s="109"/>
    </row>
    <row r="77" spans="1:52" x14ac:dyDescent="0.25">
      <c r="A77" s="1"/>
      <c r="B77" s="428"/>
      <c r="C77" s="266"/>
      <c r="D77" s="431"/>
      <c r="E77" s="432"/>
      <c r="F77" s="432"/>
      <c r="G77" s="149" t="str">
        <f>IF('Data input'!G86="","Min",MIN('Data input'!G86:K86))</f>
        <v>Min</v>
      </c>
      <c r="H77" s="138" t="s">
        <v>395</v>
      </c>
      <c r="I77" s="150" t="str">
        <f>IF('Data input'!G86="","Max",MAX('Data input'!G86:K86))</f>
        <v>Max</v>
      </c>
      <c r="J77" s="151" t="str">
        <f>IF('Data input'!L86="","Min",MIN('Data input'!L86:P86))</f>
        <v>Min</v>
      </c>
      <c r="K77" s="138" t="s">
        <v>395</v>
      </c>
      <c r="L77" s="150" t="str">
        <f>IF('Data input'!L86="","Max",MAX('Data input'!L86:P86))</f>
        <v>Max</v>
      </c>
      <c r="M77" s="151" t="str">
        <f>IF('Data input'!Q86="","Min",MIN('Data input'!Q86:U86))</f>
        <v>Min</v>
      </c>
      <c r="N77" s="138" t="s">
        <v>395</v>
      </c>
      <c r="O77" s="152" t="str">
        <f>IF('Data input'!Q86="","Max",MAX('Data input'!Q86:U86))</f>
        <v>Max</v>
      </c>
      <c r="AZ77" s="109"/>
    </row>
    <row r="78" spans="1:52" x14ac:dyDescent="0.25">
      <c r="A78" s="1"/>
      <c r="B78" s="428" t="str">
        <f>IF('Data input'!B88="Add here"," ",'Data input'!B88)</f>
        <v xml:space="preserve"> </v>
      </c>
      <c r="C78" s="266"/>
      <c r="D78" s="429" t="str">
        <f>IF('Data input'!D88="Specify here"," ",'Data input'!D88)</f>
        <v xml:space="preserve"> </v>
      </c>
      <c r="E78" s="430"/>
      <c r="F78" s="430"/>
      <c r="G78" s="423">
        <f>'Data input'!G88</f>
        <v>0</v>
      </c>
      <c r="H78" s="424"/>
      <c r="I78" s="424"/>
      <c r="J78" s="424">
        <f>'Data input'!L88</f>
        <v>0</v>
      </c>
      <c r="K78" s="424"/>
      <c r="L78" s="424"/>
      <c r="M78" s="424">
        <f>'Data input'!Q88</f>
        <v>0</v>
      </c>
      <c r="N78" s="424"/>
      <c r="O78" s="427"/>
      <c r="AZ78" s="109"/>
    </row>
    <row r="79" spans="1:52" ht="16.5" thickBot="1" x14ac:dyDescent="0.3">
      <c r="A79" s="1"/>
      <c r="B79" s="571"/>
      <c r="C79" s="333"/>
      <c r="D79" s="431"/>
      <c r="E79" s="432"/>
      <c r="F79" s="432"/>
      <c r="G79" s="148" t="str">
        <f>IF('Data input'!G88="","Min",MIN('Data input'!G88:K88))</f>
        <v>Min</v>
      </c>
      <c r="H79" s="136" t="s">
        <v>395</v>
      </c>
      <c r="I79" s="135" t="str">
        <f>IF('Data input'!G88="","Max",MAX('Data input'!G88:K88))</f>
        <v>Max</v>
      </c>
      <c r="J79" s="153" t="str">
        <f>IF('Data input'!L88="","Min",MIN('Data input'!L88:P88))</f>
        <v>Min</v>
      </c>
      <c r="K79" s="136" t="s">
        <v>395</v>
      </c>
      <c r="L79" s="135" t="str">
        <f>IF('Data input'!L88="","Max",MAX('Data input'!L88:P88))</f>
        <v>Max</v>
      </c>
      <c r="M79" s="153" t="str">
        <f>IF('Data input'!Q88="","Min",MIN('Data input'!Q88:U88))</f>
        <v>Min</v>
      </c>
      <c r="N79" s="136" t="s">
        <v>395</v>
      </c>
      <c r="O79" s="137" t="str">
        <f>IF('Data input'!Q88="","Max",MAX('Data input'!Q88:U88))</f>
        <v>Max</v>
      </c>
      <c r="AZ79" s="109"/>
    </row>
    <row r="80" spans="1:52" ht="16.5" thickBot="1" x14ac:dyDescent="0.3">
      <c r="A80" s="1"/>
      <c r="B80" s="550" t="s">
        <v>322</v>
      </c>
      <c r="C80" s="551"/>
      <c r="D80" s="572" t="str">
        <f>IF('Data input'!D90="Explain here"," ",'Data input'!D90)</f>
        <v xml:space="preserve"> </v>
      </c>
      <c r="E80" s="573"/>
      <c r="F80" s="573"/>
      <c r="G80" s="573"/>
      <c r="H80" s="573"/>
      <c r="I80" s="573"/>
      <c r="J80" s="573"/>
      <c r="K80" s="573"/>
      <c r="L80" s="573"/>
      <c r="M80" s="573"/>
      <c r="N80" s="573"/>
      <c r="O80" s="574"/>
      <c r="AZ80" s="109" t="str">
        <f>D80</f>
        <v xml:space="preserve"> </v>
      </c>
    </row>
    <row r="81" spans="1:52" ht="16.5" thickBot="1" x14ac:dyDescent="0.3">
      <c r="A81" s="1"/>
      <c r="B81" s="568" t="s">
        <v>116</v>
      </c>
      <c r="C81" s="569"/>
      <c r="D81" s="569"/>
      <c r="E81" s="569"/>
      <c r="F81" s="569"/>
      <c r="G81" s="569"/>
      <c r="H81" s="569"/>
      <c r="I81" s="569"/>
      <c r="J81" s="569"/>
      <c r="K81" s="569"/>
      <c r="L81" s="569"/>
      <c r="M81" s="569"/>
      <c r="N81" s="569"/>
      <c r="O81" s="570"/>
      <c r="AZ81" s="109"/>
    </row>
    <row r="82" spans="1:52" x14ac:dyDescent="0.25">
      <c r="A82" s="1"/>
      <c r="B82" s="167">
        <f>IF('Data input'!B92="Specify complete references and data sources used here in order of importance (mostly used)"," ",'Data input'!B92)</f>
        <v>1</v>
      </c>
      <c r="C82" s="403" t="str">
        <f>IF('Data input'!C92="Specify complete references and data sources used here in order of importance (mostly used)"," ",'Data input'!C92)</f>
        <v>SDE+2021: Eindadvies Basisbedragen SDE+ 2021, PBL 2021.</v>
      </c>
      <c r="D82" s="403"/>
      <c r="E82" s="403"/>
      <c r="F82" s="403"/>
      <c r="G82" s="403"/>
      <c r="H82" s="403"/>
      <c r="I82" s="403"/>
      <c r="J82" s="403"/>
      <c r="K82" s="403"/>
      <c r="L82" s="403"/>
      <c r="M82" s="403"/>
      <c r="N82" s="403"/>
      <c r="O82" s="404"/>
      <c r="AZ82" s="109">
        <f>B82</f>
        <v>1</v>
      </c>
    </row>
    <row r="83" spans="1:52" x14ac:dyDescent="0.25">
      <c r="A83" s="1" t="s">
        <v>402</v>
      </c>
      <c r="B83" s="168">
        <f>IF('Data input'!B93=""," ",'Data input'!B93)</f>
        <v>2</v>
      </c>
      <c r="C83" s="393" t="str">
        <f>IF('Data input'!C93=""," ",'Data input'!C93)</f>
        <v>SPG 2018: Masterplan Aardwarmte in Nederland, SPG, DAGO, WN, EBN, 2018.</v>
      </c>
      <c r="D83" s="393"/>
      <c r="E83" s="393"/>
      <c r="F83" s="393"/>
      <c r="G83" s="393"/>
      <c r="H83" s="393"/>
      <c r="I83" s="393"/>
      <c r="J83" s="393"/>
      <c r="K83" s="393"/>
      <c r="L83" s="393"/>
      <c r="M83" s="393"/>
      <c r="N83" s="393"/>
      <c r="O83" s="394"/>
      <c r="AZ83" s="109">
        <f t="shared" ref="AZ83:AZ92" si="0">B83</f>
        <v>2</v>
      </c>
    </row>
    <row r="84" spans="1:52" x14ac:dyDescent="0.25">
      <c r="A84" s="1"/>
      <c r="B84" s="168">
        <f>IF('Data input'!B94=""," ",'Data input'!B94)</f>
        <v>3</v>
      </c>
      <c r="C84" s="393" t="str">
        <f>IF('Data input'!C94=""," ",'Data input'!C94)</f>
        <v>https://www.geothermie.nl/index.php/nl/</v>
      </c>
      <c r="D84" s="393"/>
      <c r="E84" s="393"/>
      <c r="F84" s="393"/>
      <c r="G84" s="393"/>
      <c r="H84" s="393"/>
      <c r="I84" s="393"/>
      <c r="J84" s="393"/>
      <c r="K84" s="393"/>
      <c r="L84" s="393"/>
      <c r="M84" s="393"/>
      <c r="N84" s="393"/>
      <c r="O84" s="394"/>
      <c r="AZ84" s="109">
        <f t="shared" si="0"/>
        <v>3</v>
      </c>
    </row>
    <row r="85" spans="1:52" x14ac:dyDescent="0.25">
      <c r="A85" s="1"/>
      <c r="B85" s="168">
        <f>IF('Data input'!B95=""," ",'Data input'!B95)</f>
        <v>4</v>
      </c>
      <c r="C85" s="393" t="str">
        <f>IF('Data input'!C95=""," ",'Data input'!C95)</f>
        <v>CBS: statline.nl</v>
      </c>
      <c r="D85" s="393"/>
      <c r="E85" s="393"/>
      <c r="F85" s="393"/>
      <c r="G85" s="393"/>
      <c r="H85" s="393"/>
      <c r="I85" s="393"/>
      <c r="J85" s="393"/>
      <c r="K85" s="393"/>
      <c r="L85" s="393"/>
      <c r="M85" s="393"/>
      <c r="N85" s="393"/>
      <c r="O85" s="394"/>
      <c r="AZ85" s="109">
        <f t="shared" si="0"/>
        <v>4</v>
      </c>
    </row>
    <row r="86" spans="1:52" ht="16.5" thickBot="1" x14ac:dyDescent="0.3">
      <c r="A86" s="101"/>
      <c r="B86" s="169">
        <f>IF('Data input'!B96=""," ",'Data input'!B96)</f>
        <v>5</v>
      </c>
      <c r="C86" s="395" t="str">
        <f>IF('Data input'!C96=""," ",'Data input'!C96)</f>
        <v>nlog.nl</v>
      </c>
      <c r="D86" s="395"/>
      <c r="E86" s="395"/>
      <c r="F86" s="395"/>
      <c r="G86" s="395"/>
      <c r="H86" s="395"/>
      <c r="I86" s="395"/>
      <c r="J86" s="395"/>
      <c r="K86" s="395"/>
      <c r="L86" s="395"/>
      <c r="M86" s="395"/>
      <c r="N86" s="395"/>
      <c r="O86" s="396"/>
      <c r="AZ86" s="109">
        <f t="shared" si="0"/>
        <v>5</v>
      </c>
    </row>
    <row r="87" spans="1:52" x14ac:dyDescent="0.25">
      <c r="A87" s="1"/>
      <c r="B87" s="179">
        <f>IF('Data input'!B97=""," ",'Data input'!B97)</f>
        <v>6</v>
      </c>
      <c r="C87" s="405" t="str">
        <f>IF('Data input'!C97=""," ",'Data input'!C97)</f>
        <v xml:space="preserve"> </v>
      </c>
      <c r="D87" s="405"/>
      <c r="E87" s="405"/>
      <c r="F87" s="405"/>
      <c r="G87" s="405"/>
      <c r="H87" s="405"/>
      <c r="I87" s="405"/>
      <c r="J87" s="405"/>
      <c r="K87" s="405"/>
      <c r="L87" s="405"/>
      <c r="M87" s="405"/>
      <c r="N87" s="405"/>
      <c r="O87" s="406"/>
      <c r="AZ87" s="109">
        <f t="shared" si="0"/>
        <v>6</v>
      </c>
    </row>
    <row r="88" spans="1:52" x14ac:dyDescent="0.25">
      <c r="A88" s="1"/>
      <c r="B88" s="168">
        <f>IF('Data input'!B98=""," ",'Data input'!B98)</f>
        <v>7</v>
      </c>
      <c r="C88" s="393" t="str">
        <f>IF('Data input'!C98=""," ",'Data input'!C98)</f>
        <v xml:space="preserve"> </v>
      </c>
      <c r="D88" s="393"/>
      <c r="E88" s="393"/>
      <c r="F88" s="393"/>
      <c r="G88" s="393"/>
      <c r="H88" s="393"/>
      <c r="I88" s="393"/>
      <c r="J88" s="393"/>
      <c r="K88" s="393"/>
      <c r="L88" s="393"/>
      <c r="M88" s="393"/>
      <c r="N88" s="393"/>
      <c r="O88" s="394"/>
      <c r="AZ88" s="109">
        <f t="shared" si="0"/>
        <v>7</v>
      </c>
    </row>
    <row r="89" spans="1:52" x14ac:dyDescent="0.25">
      <c r="A89" s="1"/>
      <c r="B89" s="168">
        <f>IF('Data input'!B99=""," ",'Data input'!B99)</f>
        <v>8</v>
      </c>
      <c r="C89" s="393" t="str">
        <f>IF('Data input'!C99=""," ",'Data input'!C99)</f>
        <v xml:space="preserve"> </v>
      </c>
      <c r="D89" s="393"/>
      <c r="E89" s="393"/>
      <c r="F89" s="393"/>
      <c r="G89" s="393"/>
      <c r="H89" s="393"/>
      <c r="I89" s="393"/>
      <c r="J89" s="393"/>
      <c r="K89" s="393"/>
      <c r="L89" s="393"/>
      <c r="M89" s="393"/>
      <c r="N89" s="393"/>
      <c r="O89" s="394"/>
      <c r="AZ89" s="109">
        <f t="shared" si="0"/>
        <v>8</v>
      </c>
    </row>
    <row r="90" spans="1:52" x14ac:dyDescent="0.25">
      <c r="A90" s="1"/>
      <c r="B90" s="168">
        <f>IF('Data input'!B100=""," ",'Data input'!B100)</f>
        <v>9</v>
      </c>
      <c r="C90" s="393" t="str">
        <f>IF('Data input'!C100=""," ",'Data input'!C100)</f>
        <v xml:space="preserve"> </v>
      </c>
      <c r="D90" s="393"/>
      <c r="E90" s="393"/>
      <c r="F90" s="393"/>
      <c r="G90" s="393"/>
      <c r="H90" s="393"/>
      <c r="I90" s="393"/>
      <c r="J90" s="393"/>
      <c r="K90" s="393"/>
      <c r="L90" s="393"/>
      <c r="M90" s="393"/>
      <c r="N90" s="393"/>
      <c r="O90" s="394"/>
      <c r="AZ90" s="109">
        <f t="shared" si="0"/>
        <v>9</v>
      </c>
    </row>
    <row r="91" spans="1:52" x14ac:dyDescent="0.25">
      <c r="A91" s="1"/>
      <c r="B91" s="168">
        <f>IF('Data input'!B101=""," ",'Data input'!B101)</f>
        <v>10</v>
      </c>
      <c r="C91" s="393" t="str">
        <f>IF('Data input'!C101=""," ",'Data input'!C101)</f>
        <v xml:space="preserve"> </v>
      </c>
      <c r="D91" s="393"/>
      <c r="E91" s="393"/>
      <c r="F91" s="393"/>
      <c r="G91" s="393"/>
      <c r="H91" s="393"/>
      <c r="I91" s="393"/>
      <c r="J91" s="393"/>
      <c r="K91" s="393"/>
      <c r="L91" s="393"/>
      <c r="M91" s="393"/>
      <c r="N91" s="393"/>
      <c r="O91" s="394"/>
      <c r="AZ91" s="109">
        <f t="shared" si="0"/>
        <v>10</v>
      </c>
    </row>
    <row r="92" spans="1:52" ht="16.5" thickBot="1" x14ac:dyDescent="0.3">
      <c r="A92" s="1"/>
      <c r="B92" s="169" t="str">
        <f>IF('Data input'!B102="Add other sources here"," ",'Data input'!B102)</f>
        <v>Others</v>
      </c>
      <c r="C92" s="395" t="str">
        <f>IF('Data input'!C102="Add other sources here"," ",'Data input'!C102)</f>
        <v xml:space="preserve"> </v>
      </c>
      <c r="D92" s="395"/>
      <c r="E92" s="395"/>
      <c r="F92" s="395"/>
      <c r="G92" s="395"/>
      <c r="H92" s="395"/>
      <c r="I92" s="395"/>
      <c r="J92" s="395"/>
      <c r="K92" s="395"/>
      <c r="L92" s="395"/>
      <c r="M92" s="395"/>
      <c r="N92" s="395"/>
      <c r="O92" s="396"/>
      <c r="AZ92" s="109" t="str">
        <f t="shared" si="0"/>
        <v>Others</v>
      </c>
    </row>
  </sheetData>
  <sheetProtection algorithmName="SHA-512" hashValue="q3v0CRexCqnYRbGEE9gXMW13OVZHNyogPagnaMmYk9XF92mtBJSTMjoX7F7VVRWee5BZiTbeoGOjVp1RI2vLzA==" saltValue="ZKVKy+HJJjXPKincDC1NoQ==" spinCount="100000" sheet="1" objects="1" scenarios="1"/>
  <mergeCells count="205">
    <mergeCell ref="D65:E66"/>
    <mergeCell ref="F65:F66"/>
    <mergeCell ref="G63:I63"/>
    <mergeCell ref="J63:L63"/>
    <mergeCell ref="B53:C57"/>
    <mergeCell ref="G53:I53"/>
    <mergeCell ref="J53:L53"/>
    <mergeCell ref="D58:O58"/>
    <mergeCell ref="D53:E53"/>
    <mergeCell ref="G54:I54"/>
    <mergeCell ref="J54:L54"/>
    <mergeCell ref="M54:O54"/>
    <mergeCell ref="B81:O81"/>
    <mergeCell ref="B70:O70"/>
    <mergeCell ref="G71:I71"/>
    <mergeCell ref="J71:L71"/>
    <mergeCell ref="M71:O71"/>
    <mergeCell ref="G72:I72"/>
    <mergeCell ref="J72:L72"/>
    <mergeCell ref="M72:O72"/>
    <mergeCell ref="B69:C69"/>
    <mergeCell ref="D69:O69"/>
    <mergeCell ref="M76:O76"/>
    <mergeCell ref="B78:C79"/>
    <mergeCell ref="D78:F79"/>
    <mergeCell ref="G78:I78"/>
    <mergeCell ref="J78:L78"/>
    <mergeCell ref="M78:O78"/>
    <mergeCell ref="B80:C80"/>
    <mergeCell ref="D80:O80"/>
    <mergeCell ref="B72:C73"/>
    <mergeCell ref="D72:F73"/>
    <mergeCell ref="D71:F71"/>
    <mergeCell ref="B74:C75"/>
    <mergeCell ref="D74:F75"/>
    <mergeCell ref="G74:I74"/>
    <mergeCell ref="J67:L67"/>
    <mergeCell ref="M67:O67"/>
    <mergeCell ref="B38:C39"/>
    <mergeCell ref="G49:I49"/>
    <mergeCell ref="J49:L49"/>
    <mergeCell ref="M49:O49"/>
    <mergeCell ref="B40:C40"/>
    <mergeCell ref="B41:O41"/>
    <mergeCell ref="D40:O40"/>
    <mergeCell ref="G38:I38"/>
    <mergeCell ref="J38:L38"/>
    <mergeCell ref="M38:O38"/>
    <mergeCell ref="B58:C58"/>
    <mergeCell ref="M56:O56"/>
    <mergeCell ref="B52:O52"/>
    <mergeCell ref="B51:C51"/>
    <mergeCell ref="M65:O65"/>
    <mergeCell ref="D54:E55"/>
    <mergeCell ref="F54:F55"/>
    <mergeCell ref="G60:I60"/>
    <mergeCell ref="B42:C50"/>
    <mergeCell ref="D49:E50"/>
    <mergeCell ref="F49:F50"/>
    <mergeCell ref="D56:E57"/>
    <mergeCell ref="J31:L31"/>
    <mergeCell ref="D12:O12"/>
    <mergeCell ref="B3:O3"/>
    <mergeCell ref="B4:C4"/>
    <mergeCell ref="D4:O4"/>
    <mergeCell ref="D7:O7"/>
    <mergeCell ref="B9:C9"/>
    <mergeCell ref="D9:O9"/>
    <mergeCell ref="B8:C8"/>
    <mergeCell ref="D8:O8"/>
    <mergeCell ref="B6:C6"/>
    <mergeCell ref="B7:C7"/>
    <mergeCell ref="D6:O6"/>
    <mergeCell ref="B10:C10"/>
    <mergeCell ref="D11:O11"/>
    <mergeCell ref="B5:C5"/>
    <mergeCell ref="D5:O5"/>
    <mergeCell ref="B13:O13"/>
    <mergeCell ref="D10:M10"/>
    <mergeCell ref="B18:C18"/>
    <mergeCell ref="E32:F33"/>
    <mergeCell ref="G14:O14"/>
    <mergeCell ref="D14:F14"/>
    <mergeCell ref="B14:C14"/>
    <mergeCell ref="B23:C23"/>
    <mergeCell ref="B22:C22"/>
    <mergeCell ref="M32:O32"/>
    <mergeCell ref="D22:O22"/>
    <mergeCell ref="B25:C25"/>
    <mergeCell ref="B15:C15"/>
    <mergeCell ref="B30:C30"/>
    <mergeCell ref="G17:I17"/>
    <mergeCell ref="J17:L17"/>
    <mergeCell ref="M17:O17"/>
    <mergeCell ref="G18:I18"/>
    <mergeCell ref="J18:L18"/>
    <mergeCell ref="M18:O18"/>
    <mergeCell ref="G20:I20"/>
    <mergeCell ref="J20:L20"/>
    <mergeCell ref="M20:O20"/>
    <mergeCell ref="D17:E19"/>
    <mergeCell ref="D15:F16"/>
    <mergeCell ref="B29:O29"/>
    <mergeCell ref="G31:I31"/>
    <mergeCell ref="J34:L34"/>
    <mergeCell ref="M34:O34"/>
    <mergeCell ref="E34:F35"/>
    <mergeCell ref="B26:C26"/>
    <mergeCell ref="G15:O15"/>
    <mergeCell ref="D30:O30"/>
    <mergeCell ref="B31:C33"/>
    <mergeCell ref="D31:F31"/>
    <mergeCell ref="G16:I16"/>
    <mergeCell ref="J16:L16"/>
    <mergeCell ref="M16:O16"/>
    <mergeCell ref="F17:F19"/>
    <mergeCell ref="D25:O25"/>
    <mergeCell ref="D23:O23"/>
    <mergeCell ref="D26:O26"/>
    <mergeCell ref="D32:D33"/>
    <mergeCell ref="B28:C28"/>
    <mergeCell ref="D28:O28"/>
    <mergeCell ref="D27:O27"/>
    <mergeCell ref="B27:C27"/>
    <mergeCell ref="E24:O24"/>
    <mergeCell ref="M31:O31"/>
    <mergeCell ref="G32:I32"/>
    <mergeCell ref="J32:L32"/>
    <mergeCell ref="G34:I34"/>
    <mergeCell ref="D36:D37"/>
    <mergeCell ref="E38:F39"/>
    <mergeCell ref="D34:D35"/>
    <mergeCell ref="G36:I36"/>
    <mergeCell ref="E36:F37"/>
    <mergeCell ref="F45:F46"/>
    <mergeCell ref="G45:I45"/>
    <mergeCell ref="D42:E42"/>
    <mergeCell ref="F43:F44"/>
    <mergeCell ref="G43:I43"/>
    <mergeCell ref="G42:I42"/>
    <mergeCell ref="D45:E46"/>
    <mergeCell ref="G47:I47"/>
    <mergeCell ref="D38:D39"/>
    <mergeCell ref="B36:C37"/>
    <mergeCell ref="J47:L47"/>
    <mergeCell ref="D51:O51"/>
    <mergeCell ref="M47:O47"/>
    <mergeCell ref="M43:O43"/>
    <mergeCell ref="J45:L45"/>
    <mergeCell ref="M42:O42"/>
    <mergeCell ref="J43:L43"/>
    <mergeCell ref="M45:O45"/>
    <mergeCell ref="J36:L36"/>
    <mergeCell ref="M36:O36"/>
    <mergeCell ref="J42:L42"/>
    <mergeCell ref="D47:E48"/>
    <mergeCell ref="F47:F48"/>
    <mergeCell ref="M74:O74"/>
    <mergeCell ref="B76:C77"/>
    <mergeCell ref="D76:F77"/>
    <mergeCell ref="G76:I76"/>
    <mergeCell ref="B71:C71"/>
    <mergeCell ref="J76:L76"/>
    <mergeCell ref="J56:L56"/>
    <mergeCell ref="M53:O53"/>
    <mergeCell ref="M63:O63"/>
    <mergeCell ref="J60:L60"/>
    <mergeCell ref="M60:O60"/>
    <mergeCell ref="D60:E60"/>
    <mergeCell ref="D61:E62"/>
    <mergeCell ref="F61:F62"/>
    <mergeCell ref="G61:I61"/>
    <mergeCell ref="J61:L61"/>
    <mergeCell ref="M61:O61"/>
    <mergeCell ref="D63:E64"/>
    <mergeCell ref="F63:F64"/>
    <mergeCell ref="D67:E68"/>
    <mergeCell ref="F67:F68"/>
    <mergeCell ref="B59:O59"/>
    <mergeCell ref="B60:C68"/>
    <mergeCell ref="G67:I67"/>
    <mergeCell ref="C91:O91"/>
    <mergeCell ref="C92:O92"/>
    <mergeCell ref="B11:C11"/>
    <mergeCell ref="B20:C21"/>
    <mergeCell ref="C82:O82"/>
    <mergeCell ref="C83:O83"/>
    <mergeCell ref="C84:O84"/>
    <mergeCell ref="C85:O85"/>
    <mergeCell ref="C86:O86"/>
    <mergeCell ref="C87:O87"/>
    <mergeCell ref="C88:O88"/>
    <mergeCell ref="C89:O89"/>
    <mergeCell ref="C90:O90"/>
    <mergeCell ref="D20:E21"/>
    <mergeCell ref="F20:F21"/>
    <mergeCell ref="B34:C35"/>
    <mergeCell ref="D44:E44"/>
    <mergeCell ref="D43:E43"/>
    <mergeCell ref="B24:C24"/>
    <mergeCell ref="G65:I65"/>
    <mergeCell ref="J65:L65"/>
    <mergeCell ref="F56:F57"/>
    <mergeCell ref="G56:I56"/>
    <mergeCell ref="J74:L74"/>
  </mergeCells>
  <conditionalFormatting sqref="D6:D9">
    <cfRule type="containsText" dxfId="379" priority="754" operator="containsText" text="Please select">
      <formula>NOT(ISERROR(SEARCH("Please select",D6)))</formula>
    </cfRule>
  </conditionalFormatting>
  <conditionalFormatting sqref="D10">
    <cfRule type="containsText" dxfId="378" priority="750" operator="containsText" text="Specify here">
      <formula>NOT(ISERROR(SEARCH("Specify here",D10)))</formula>
    </cfRule>
  </conditionalFormatting>
  <conditionalFormatting sqref="D4:O4 D5">
    <cfRule type="containsText" dxfId="377" priority="749" operator="containsText" text="DD-MM-YYYY">
      <formula>NOT(ISERROR(SEARCH("DD-MM-YYYY",D4)))</formula>
    </cfRule>
  </conditionalFormatting>
  <conditionalFormatting sqref="D11:O11">
    <cfRule type="containsText" dxfId="376" priority="746" operator="containsText" text="Select the observed or expected TRL level in 2020">
      <formula>NOT(ISERROR(SEARCH("Select the observed or expected TRL level in 2020",D11)))</formula>
    </cfRule>
    <cfRule type="containsText" dxfId="375" priority="748" operator="containsText" text="Specify here the observed or expected TRL level in 2020">
      <formula>NOT(ISERROR(SEARCH("Specify here the observed or expected TRL level in 2020",D11)))</formula>
    </cfRule>
  </conditionalFormatting>
  <conditionalFormatting sqref="D12:O12">
    <cfRule type="containsText" dxfId="374" priority="747" operator="containsText" text="Explain here">
      <formula>NOT(ISERROR(SEARCH("Explain here",D12)))</formula>
    </cfRule>
  </conditionalFormatting>
  <conditionalFormatting sqref="D30">
    <cfRule type="containsText" dxfId="373" priority="744" operator="containsText" text="Specify here">
      <formula>NOT(ISERROR(SEARCH("Specify here",D30)))</formula>
    </cfRule>
  </conditionalFormatting>
  <conditionalFormatting sqref="D40:O40">
    <cfRule type="containsText" dxfId="372" priority="743" operator="containsText" text="Explain here (e.g. other costs)">
      <formula>NOT(ISERROR(SEARCH("Explain here (e.g. other costs)",D40)))</formula>
    </cfRule>
  </conditionalFormatting>
  <conditionalFormatting sqref="D51:O51">
    <cfRule type="containsText" dxfId="371" priority="742" operator="containsText" text="Explain here (e.g. flexible in and out)">
      <formula>NOT(ISERROR(SEARCH("Explain here (e.g. flexible in and out)",D51)))</formula>
    </cfRule>
  </conditionalFormatting>
  <conditionalFormatting sqref="D44">
    <cfRule type="containsText" dxfId="370" priority="741" operator="containsText" text="Select">
      <formula>NOT(ISERROR(SEARCH("Select",D44)))</formula>
    </cfRule>
  </conditionalFormatting>
  <conditionalFormatting sqref="D58:O58">
    <cfRule type="containsText" dxfId="369" priority="737" operator="containsText" text="Explain here">
      <formula>NOT(ISERROR(SEARCH("Explain here",D58)))</formula>
    </cfRule>
  </conditionalFormatting>
  <conditionalFormatting sqref="D54">
    <cfRule type="containsText" dxfId="368" priority="736" operator="containsText" text="Select">
      <formula>NOT(ISERROR(SEARCH("Select",D54)))</formula>
    </cfRule>
  </conditionalFormatting>
  <conditionalFormatting sqref="D15:F16 D22:F23 D25:F27 D24:E24">
    <cfRule type="containsText" dxfId="367" priority="730" operator="containsText" text="Please select">
      <formula>NOT(ISERROR(SEARCH("Please select",D15)))</formula>
    </cfRule>
  </conditionalFormatting>
  <conditionalFormatting sqref="D17 F17">
    <cfRule type="containsText" dxfId="366" priority="721" operator="containsText" text="Please select 'Functional Unit' above">
      <formula>NOT(ISERROR(SEARCH("Please select 'Functional Unit' above",D17)))</formula>
    </cfRule>
  </conditionalFormatting>
  <conditionalFormatting sqref="E32">
    <cfRule type="containsText" dxfId="365" priority="719" operator="containsText" text="Please select 'Functional Unit' above">
      <formula>NOT(ISERROR(SEARCH("Please select 'Functional Unit' above",E32)))</formula>
    </cfRule>
  </conditionalFormatting>
  <conditionalFormatting sqref="E34">
    <cfRule type="containsText" dxfId="364" priority="718" operator="containsText" text="Please select 'Functional Unit' above">
      <formula>NOT(ISERROR(SEARCH("Please select 'Functional Unit' above",E34)))</formula>
    </cfRule>
  </conditionalFormatting>
  <conditionalFormatting sqref="E36">
    <cfRule type="containsText" dxfId="363" priority="717" operator="containsText" text="Please select 'Functional Unit' above">
      <formula>NOT(ISERROR(SEARCH("Please select 'Functional Unit' above",E36)))</formula>
    </cfRule>
  </conditionalFormatting>
  <conditionalFormatting sqref="D61">
    <cfRule type="containsText" dxfId="362" priority="701" operator="containsText" text="Select">
      <formula>NOT(ISERROR(SEARCH("Select",D61)))</formula>
    </cfRule>
  </conditionalFormatting>
  <conditionalFormatting sqref="F61:F68">
    <cfRule type="containsText" dxfId="361" priority="694" operator="containsText" text="Please select">
      <formula>NOT(ISERROR(SEARCH("Please select",F61)))</formula>
    </cfRule>
  </conditionalFormatting>
  <conditionalFormatting sqref="D28:O28">
    <cfRule type="containsText" dxfId="360" priority="675" operator="containsText" text="Explain here">
      <formula>NOT(ISERROR(SEARCH("Explain here",D28)))</formula>
    </cfRule>
  </conditionalFormatting>
  <conditionalFormatting sqref="D69:O69">
    <cfRule type="containsText" dxfId="359" priority="687" operator="containsText" text="Explain here">
      <formula>NOT(ISERROR(SEARCH("Explain here",D69)))</formula>
    </cfRule>
  </conditionalFormatting>
  <conditionalFormatting sqref="B82:B92">
    <cfRule type="containsText" dxfId="358" priority="686" operator="containsText" text="Specify data sources and references here">
      <formula>NOT(ISERROR(SEARCH("Specify data sources and references here",B82)))</formula>
    </cfRule>
  </conditionalFormatting>
  <conditionalFormatting sqref="E38">
    <cfRule type="containsText" dxfId="357" priority="685" operator="containsText" text="Please select 'Functional Unit' above">
      <formula>NOT(ISERROR(SEARCH("Please select 'Functional Unit' above",E38)))</formula>
    </cfRule>
  </conditionalFormatting>
  <conditionalFormatting sqref="F43:F50">
    <cfRule type="containsText" dxfId="356" priority="683" operator="containsText" text="Please select">
      <formula>NOT(ISERROR(SEARCH("Please select",F43)))</formula>
    </cfRule>
  </conditionalFormatting>
  <conditionalFormatting sqref="G33 I33 G32:O32 G34:O34 G36:O36">
    <cfRule type="containsText" dxfId="355" priority="679" operator="containsText" text="Max">
      <formula>NOT(ISERROR(SEARCH("Max",G32)))</formula>
    </cfRule>
    <cfRule type="containsText" dxfId="354" priority="680" operator="containsText" text="Min">
      <formula>NOT(ISERROR(SEARCH("Min",G32)))</formula>
    </cfRule>
    <cfRule type="containsText" dxfId="353" priority="681" operator="containsText" text="Specify ">
      <formula>NOT(ISERROR(SEARCH("Specify ",G32)))</formula>
    </cfRule>
  </conditionalFormatting>
  <conditionalFormatting sqref="D45">
    <cfRule type="containsText" dxfId="352" priority="674" operator="containsText" text="Select">
      <formula>NOT(ISERROR(SEARCH("Select",D45)))</formula>
    </cfRule>
  </conditionalFormatting>
  <conditionalFormatting sqref="D47">
    <cfRule type="containsText" dxfId="351" priority="673" operator="containsText" text="Select">
      <formula>NOT(ISERROR(SEARCH("Select",D47)))</formula>
    </cfRule>
  </conditionalFormatting>
  <conditionalFormatting sqref="D49">
    <cfRule type="containsText" dxfId="350" priority="672" operator="containsText" text="Select">
      <formula>NOT(ISERROR(SEARCH("Select",D49)))</formula>
    </cfRule>
  </conditionalFormatting>
  <conditionalFormatting sqref="D56">
    <cfRule type="containsText" dxfId="349" priority="671" operator="containsText" text="Select">
      <formula>NOT(ISERROR(SEARCH("Select",D56)))</formula>
    </cfRule>
  </conditionalFormatting>
  <conditionalFormatting sqref="D63">
    <cfRule type="containsText" dxfId="348" priority="670" operator="containsText" text="Select">
      <formula>NOT(ISERROR(SEARCH("Select",D63)))</formula>
    </cfRule>
  </conditionalFormatting>
  <conditionalFormatting sqref="D65">
    <cfRule type="containsText" dxfId="347" priority="669" operator="containsText" text="Select">
      <formula>NOT(ISERROR(SEARCH("Select",D65)))</formula>
    </cfRule>
  </conditionalFormatting>
  <conditionalFormatting sqref="D67">
    <cfRule type="containsText" dxfId="346" priority="668" operator="containsText" text="Select">
      <formula>NOT(ISERROR(SEARCH("Select",D67)))</formula>
    </cfRule>
  </conditionalFormatting>
  <conditionalFormatting sqref="D20 F20">
    <cfRule type="containsText" dxfId="345" priority="661" operator="containsText" text="Please select 'Functional Unit' above">
      <formula>NOT(ISERROR(SEARCH("Please select 'Functional Unit' above",D20)))</formula>
    </cfRule>
  </conditionalFormatting>
  <conditionalFormatting sqref="G19:O19 G21:O21">
    <cfRule type="containsText" dxfId="344" priority="658" operator="containsText" text="Max">
      <formula>NOT(ISERROR(SEARCH("Max",G19)))</formula>
    </cfRule>
    <cfRule type="containsText" dxfId="343" priority="659" operator="containsText" text="Min">
      <formula>NOT(ISERROR(SEARCH("Min",G19)))</formula>
    </cfRule>
    <cfRule type="containsText" dxfId="342" priority="660" operator="containsText" text="Specify ">
      <formula>NOT(ISERROR(SEARCH("Specify ",G19)))</formula>
    </cfRule>
  </conditionalFormatting>
  <conditionalFormatting sqref="G16:I16">
    <cfRule type="containsText" dxfId="341" priority="657" operator="containsText" text="min">
      <formula>NOT(ISERROR(SEARCH("min",G16)))</formula>
    </cfRule>
  </conditionalFormatting>
  <conditionalFormatting sqref="M16:O16">
    <cfRule type="containsText" dxfId="340" priority="656" operator="containsText" text="max">
      <formula>NOT(ISERROR(SEARCH("max",M16)))</formula>
    </cfRule>
  </conditionalFormatting>
  <conditionalFormatting sqref="D80:O80">
    <cfRule type="containsText" dxfId="339" priority="646" operator="containsText" text="Explain here">
      <formula>NOT(ISERROR(SEARCH("Explain here",D80)))</formula>
    </cfRule>
  </conditionalFormatting>
  <conditionalFormatting sqref="H33">
    <cfRule type="containsText" dxfId="338" priority="643" operator="containsText" text="Max">
      <formula>NOT(ISERROR(SEARCH("Max",H33)))</formula>
    </cfRule>
    <cfRule type="containsText" dxfId="337" priority="644" operator="containsText" text="Min">
      <formula>NOT(ISERROR(SEARCH("Min",H33)))</formula>
    </cfRule>
    <cfRule type="containsText" dxfId="336" priority="645" operator="containsText" text="Specify ">
      <formula>NOT(ISERROR(SEARCH("Specify ",H33)))</formula>
    </cfRule>
  </conditionalFormatting>
  <conditionalFormatting sqref="G18:O18">
    <cfRule type="containsText" dxfId="335" priority="469" operator="containsText" text="Max">
      <formula>NOT(ISERROR(SEARCH("Max",G18)))</formula>
    </cfRule>
    <cfRule type="containsText" dxfId="334" priority="470" operator="containsText" text="Min">
      <formula>NOT(ISERROR(SEARCH("Min",G18)))</formula>
    </cfRule>
    <cfRule type="containsText" dxfId="333" priority="471" operator="containsText" text="Specify ">
      <formula>NOT(ISERROR(SEARCH("Specify ",G18)))</formula>
    </cfRule>
  </conditionalFormatting>
  <conditionalFormatting sqref="G20:O20">
    <cfRule type="containsText" dxfId="332" priority="466" operator="containsText" text="Max">
      <formula>NOT(ISERROR(SEARCH("Max",G20)))</formula>
    </cfRule>
    <cfRule type="containsText" dxfId="331" priority="467" operator="containsText" text="Min">
      <formula>NOT(ISERROR(SEARCH("Min",G20)))</formula>
    </cfRule>
    <cfRule type="containsText" dxfId="330" priority="468" operator="containsText" text="Specify ">
      <formula>NOT(ISERROR(SEARCH("Specify ",G20)))</formula>
    </cfRule>
  </conditionalFormatting>
  <conditionalFormatting sqref="G43:O43">
    <cfRule type="containsText" dxfId="329" priority="463" operator="containsText" text="Max">
      <formula>NOT(ISERROR(SEARCH("Max",G43)))</formula>
    </cfRule>
    <cfRule type="containsText" dxfId="328" priority="464" operator="containsText" text="Min">
      <formula>NOT(ISERROR(SEARCH("Min",G43)))</formula>
    </cfRule>
    <cfRule type="containsText" dxfId="327" priority="465" operator="containsText" text="Specify ">
      <formula>NOT(ISERROR(SEARCH("Specify ",G43)))</formula>
    </cfRule>
  </conditionalFormatting>
  <conditionalFormatting sqref="J33 L33">
    <cfRule type="containsText" dxfId="326" priority="325" operator="containsText" text="Max">
      <formula>NOT(ISERROR(SEARCH("Max",J33)))</formula>
    </cfRule>
    <cfRule type="containsText" dxfId="325" priority="326" operator="containsText" text="Min">
      <formula>NOT(ISERROR(SEARCH("Min",J33)))</formula>
    </cfRule>
    <cfRule type="containsText" dxfId="324" priority="327" operator="containsText" text="Specify ">
      <formula>NOT(ISERROR(SEARCH("Specify ",J33)))</formula>
    </cfRule>
  </conditionalFormatting>
  <conditionalFormatting sqref="K33">
    <cfRule type="containsText" dxfId="323" priority="322" operator="containsText" text="Max">
      <formula>NOT(ISERROR(SEARCH("Max",K33)))</formula>
    </cfRule>
    <cfRule type="containsText" dxfId="322" priority="323" operator="containsText" text="Min">
      <formula>NOT(ISERROR(SEARCH("Min",K33)))</formula>
    </cfRule>
    <cfRule type="containsText" dxfId="321" priority="324" operator="containsText" text="Specify ">
      <formula>NOT(ISERROR(SEARCH("Specify ",K33)))</formula>
    </cfRule>
  </conditionalFormatting>
  <conditionalFormatting sqref="M33 O33">
    <cfRule type="containsText" dxfId="320" priority="319" operator="containsText" text="Max">
      <formula>NOT(ISERROR(SEARCH("Max",M33)))</formula>
    </cfRule>
    <cfRule type="containsText" dxfId="319" priority="320" operator="containsText" text="Min">
      <formula>NOT(ISERROR(SEARCH("Min",M33)))</formula>
    </cfRule>
    <cfRule type="containsText" dxfId="318" priority="321" operator="containsText" text="Specify ">
      <formula>NOT(ISERROR(SEARCH("Specify ",M33)))</formula>
    </cfRule>
  </conditionalFormatting>
  <conditionalFormatting sqref="N33">
    <cfRule type="containsText" dxfId="317" priority="316" operator="containsText" text="Max">
      <formula>NOT(ISERROR(SEARCH("Max",N33)))</formula>
    </cfRule>
    <cfRule type="containsText" dxfId="316" priority="317" operator="containsText" text="Min">
      <formula>NOT(ISERROR(SEARCH("Min",N33)))</formula>
    </cfRule>
    <cfRule type="containsText" dxfId="315" priority="318" operator="containsText" text="Specify ">
      <formula>NOT(ISERROR(SEARCH("Specify ",N33)))</formula>
    </cfRule>
  </conditionalFormatting>
  <conditionalFormatting sqref="G35 I35">
    <cfRule type="containsText" dxfId="314" priority="313" operator="containsText" text="Max">
      <formula>NOT(ISERROR(SEARCH("Max",G35)))</formula>
    </cfRule>
    <cfRule type="containsText" dxfId="313" priority="314" operator="containsText" text="Min">
      <formula>NOT(ISERROR(SEARCH("Min",G35)))</formula>
    </cfRule>
    <cfRule type="containsText" dxfId="312" priority="315" operator="containsText" text="Specify ">
      <formula>NOT(ISERROR(SEARCH("Specify ",G35)))</formula>
    </cfRule>
  </conditionalFormatting>
  <conditionalFormatting sqref="H35">
    <cfRule type="containsText" dxfId="311" priority="310" operator="containsText" text="Max">
      <formula>NOT(ISERROR(SEARCH("Max",H35)))</formula>
    </cfRule>
    <cfRule type="containsText" dxfId="310" priority="311" operator="containsText" text="Min">
      <formula>NOT(ISERROR(SEARCH("Min",H35)))</formula>
    </cfRule>
    <cfRule type="containsText" dxfId="309" priority="312" operator="containsText" text="Specify ">
      <formula>NOT(ISERROR(SEARCH("Specify ",H35)))</formula>
    </cfRule>
  </conditionalFormatting>
  <conditionalFormatting sqref="J35 L35">
    <cfRule type="containsText" dxfId="308" priority="307" operator="containsText" text="Max">
      <formula>NOT(ISERROR(SEARCH("Max",J35)))</formula>
    </cfRule>
    <cfRule type="containsText" dxfId="307" priority="308" operator="containsText" text="Min">
      <formula>NOT(ISERROR(SEARCH("Min",J35)))</formula>
    </cfRule>
    <cfRule type="containsText" dxfId="306" priority="309" operator="containsText" text="Specify ">
      <formula>NOT(ISERROR(SEARCH("Specify ",J35)))</formula>
    </cfRule>
  </conditionalFormatting>
  <conditionalFormatting sqref="K35">
    <cfRule type="containsText" dxfId="305" priority="304" operator="containsText" text="Max">
      <formula>NOT(ISERROR(SEARCH("Max",K35)))</formula>
    </cfRule>
    <cfRule type="containsText" dxfId="304" priority="305" operator="containsText" text="Min">
      <formula>NOT(ISERROR(SEARCH("Min",K35)))</formula>
    </cfRule>
    <cfRule type="containsText" dxfId="303" priority="306" operator="containsText" text="Specify ">
      <formula>NOT(ISERROR(SEARCH("Specify ",K35)))</formula>
    </cfRule>
  </conditionalFormatting>
  <conditionalFormatting sqref="M35 O35">
    <cfRule type="containsText" dxfId="302" priority="301" operator="containsText" text="Max">
      <formula>NOT(ISERROR(SEARCH("Max",M35)))</formula>
    </cfRule>
    <cfRule type="containsText" dxfId="301" priority="302" operator="containsText" text="Min">
      <formula>NOT(ISERROR(SEARCH("Min",M35)))</formula>
    </cfRule>
    <cfRule type="containsText" dxfId="300" priority="303" operator="containsText" text="Specify ">
      <formula>NOT(ISERROR(SEARCH("Specify ",M35)))</formula>
    </cfRule>
  </conditionalFormatting>
  <conditionalFormatting sqref="N35">
    <cfRule type="containsText" dxfId="299" priority="298" operator="containsText" text="Max">
      <formula>NOT(ISERROR(SEARCH("Max",N35)))</formula>
    </cfRule>
    <cfRule type="containsText" dxfId="298" priority="299" operator="containsText" text="Min">
      <formula>NOT(ISERROR(SEARCH("Min",N35)))</formula>
    </cfRule>
    <cfRule type="containsText" dxfId="297" priority="300" operator="containsText" text="Specify ">
      <formula>NOT(ISERROR(SEARCH("Specify ",N35)))</formula>
    </cfRule>
  </conditionalFormatting>
  <conditionalFormatting sqref="G37 I37 G38:O38">
    <cfRule type="containsText" dxfId="296" priority="295" operator="containsText" text="Max">
      <formula>NOT(ISERROR(SEARCH("Max",G37)))</formula>
    </cfRule>
    <cfRule type="containsText" dxfId="295" priority="296" operator="containsText" text="Min">
      <formula>NOT(ISERROR(SEARCH("Min",G37)))</formula>
    </cfRule>
    <cfRule type="containsText" dxfId="294" priority="297" operator="containsText" text="Specify ">
      <formula>NOT(ISERROR(SEARCH("Specify ",G37)))</formula>
    </cfRule>
  </conditionalFormatting>
  <conditionalFormatting sqref="H37">
    <cfRule type="containsText" dxfId="293" priority="292" operator="containsText" text="Max">
      <formula>NOT(ISERROR(SEARCH("Max",H37)))</formula>
    </cfRule>
    <cfRule type="containsText" dxfId="292" priority="293" operator="containsText" text="Min">
      <formula>NOT(ISERROR(SEARCH("Min",H37)))</formula>
    </cfRule>
    <cfRule type="containsText" dxfId="291" priority="294" operator="containsText" text="Specify ">
      <formula>NOT(ISERROR(SEARCH("Specify ",H37)))</formula>
    </cfRule>
  </conditionalFormatting>
  <conditionalFormatting sqref="J37 L37">
    <cfRule type="containsText" dxfId="290" priority="289" operator="containsText" text="Max">
      <formula>NOT(ISERROR(SEARCH("Max",J37)))</formula>
    </cfRule>
    <cfRule type="containsText" dxfId="289" priority="290" operator="containsText" text="Min">
      <formula>NOT(ISERROR(SEARCH("Min",J37)))</formula>
    </cfRule>
    <cfRule type="containsText" dxfId="288" priority="291" operator="containsText" text="Specify ">
      <formula>NOT(ISERROR(SEARCH("Specify ",J37)))</formula>
    </cfRule>
  </conditionalFormatting>
  <conditionalFormatting sqref="K37">
    <cfRule type="containsText" dxfId="287" priority="286" operator="containsText" text="Max">
      <formula>NOT(ISERROR(SEARCH("Max",K37)))</formula>
    </cfRule>
    <cfRule type="containsText" dxfId="286" priority="287" operator="containsText" text="Min">
      <formula>NOT(ISERROR(SEARCH("Min",K37)))</formula>
    </cfRule>
    <cfRule type="containsText" dxfId="285" priority="288" operator="containsText" text="Specify ">
      <formula>NOT(ISERROR(SEARCH("Specify ",K37)))</formula>
    </cfRule>
  </conditionalFormatting>
  <conditionalFormatting sqref="M37 O37">
    <cfRule type="containsText" dxfId="284" priority="283" operator="containsText" text="Max">
      <formula>NOT(ISERROR(SEARCH("Max",M37)))</formula>
    </cfRule>
    <cfRule type="containsText" dxfId="283" priority="284" operator="containsText" text="Min">
      <formula>NOT(ISERROR(SEARCH("Min",M37)))</formula>
    </cfRule>
    <cfRule type="containsText" dxfId="282" priority="285" operator="containsText" text="Specify ">
      <formula>NOT(ISERROR(SEARCH("Specify ",M37)))</formula>
    </cfRule>
  </conditionalFormatting>
  <conditionalFormatting sqref="N37">
    <cfRule type="containsText" dxfId="281" priority="280" operator="containsText" text="Max">
      <formula>NOT(ISERROR(SEARCH("Max",N37)))</formula>
    </cfRule>
    <cfRule type="containsText" dxfId="280" priority="281" operator="containsText" text="Min">
      <formula>NOT(ISERROR(SEARCH("Min",N37)))</formula>
    </cfRule>
    <cfRule type="containsText" dxfId="279" priority="282" operator="containsText" text="Specify ">
      <formula>NOT(ISERROR(SEARCH("Specify ",N37)))</formula>
    </cfRule>
  </conditionalFormatting>
  <conditionalFormatting sqref="G39 I39">
    <cfRule type="containsText" dxfId="278" priority="277" operator="containsText" text="Max">
      <formula>NOT(ISERROR(SEARCH("Max",G39)))</formula>
    </cfRule>
    <cfRule type="containsText" dxfId="277" priority="278" operator="containsText" text="Min">
      <formula>NOT(ISERROR(SEARCH("Min",G39)))</formula>
    </cfRule>
    <cfRule type="containsText" dxfId="276" priority="279" operator="containsText" text="Specify ">
      <formula>NOT(ISERROR(SEARCH("Specify ",G39)))</formula>
    </cfRule>
  </conditionalFormatting>
  <conditionalFormatting sqref="H39">
    <cfRule type="containsText" dxfId="275" priority="274" operator="containsText" text="Max">
      <formula>NOT(ISERROR(SEARCH("Max",H39)))</formula>
    </cfRule>
    <cfRule type="containsText" dxfId="274" priority="275" operator="containsText" text="Min">
      <formula>NOT(ISERROR(SEARCH("Min",H39)))</formula>
    </cfRule>
    <cfRule type="containsText" dxfId="273" priority="276" operator="containsText" text="Specify ">
      <formula>NOT(ISERROR(SEARCH("Specify ",H39)))</formula>
    </cfRule>
  </conditionalFormatting>
  <conditionalFormatting sqref="J39 L39">
    <cfRule type="containsText" dxfId="272" priority="271" operator="containsText" text="Max">
      <formula>NOT(ISERROR(SEARCH("Max",J39)))</formula>
    </cfRule>
    <cfRule type="containsText" dxfId="271" priority="272" operator="containsText" text="Min">
      <formula>NOT(ISERROR(SEARCH("Min",J39)))</formula>
    </cfRule>
    <cfRule type="containsText" dxfId="270" priority="273" operator="containsText" text="Specify ">
      <formula>NOT(ISERROR(SEARCH("Specify ",J39)))</formula>
    </cfRule>
  </conditionalFormatting>
  <conditionalFormatting sqref="K39">
    <cfRule type="containsText" dxfId="269" priority="268" operator="containsText" text="Max">
      <formula>NOT(ISERROR(SEARCH("Max",K39)))</formula>
    </cfRule>
    <cfRule type="containsText" dxfId="268" priority="269" operator="containsText" text="Min">
      <formula>NOT(ISERROR(SEARCH("Min",K39)))</formula>
    </cfRule>
    <cfRule type="containsText" dxfId="267" priority="270" operator="containsText" text="Specify ">
      <formula>NOT(ISERROR(SEARCH("Specify ",K39)))</formula>
    </cfRule>
  </conditionalFormatting>
  <conditionalFormatting sqref="M39 O39">
    <cfRule type="containsText" dxfId="266" priority="265" operator="containsText" text="Max">
      <formula>NOT(ISERROR(SEARCH("Max",M39)))</formula>
    </cfRule>
    <cfRule type="containsText" dxfId="265" priority="266" operator="containsText" text="Min">
      <formula>NOT(ISERROR(SEARCH("Min",M39)))</formula>
    </cfRule>
    <cfRule type="containsText" dxfId="264" priority="267" operator="containsText" text="Specify ">
      <formula>NOT(ISERROR(SEARCH("Specify ",M39)))</formula>
    </cfRule>
  </conditionalFormatting>
  <conditionalFormatting sqref="N39">
    <cfRule type="containsText" dxfId="263" priority="262" operator="containsText" text="Max">
      <formula>NOT(ISERROR(SEARCH("Max",N39)))</formula>
    </cfRule>
    <cfRule type="containsText" dxfId="262" priority="263" operator="containsText" text="Min">
      <formula>NOT(ISERROR(SEARCH("Min",N39)))</formula>
    </cfRule>
    <cfRule type="containsText" dxfId="261" priority="264" operator="containsText" text="Specify ">
      <formula>NOT(ISERROR(SEARCH("Specify ",N39)))</formula>
    </cfRule>
  </conditionalFormatting>
  <conditionalFormatting sqref="G44 I44 G45:O45 G47:O47">
    <cfRule type="containsText" dxfId="260" priority="259" operator="containsText" text="Max">
      <formula>NOT(ISERROR(SEARCH("Max",G44)))</formula>
    </cfRule>
    <cfRule type="containsText" dxfId="259" priority="260" operator="containsText" text="Min">
      <formula>NOT(ISERROR(SEARCH("Min",G44)))</formula>
    </cfRule>
    <cfRule type="containsText" dxfId="258" priority="261" operator="containsText" text="Specify ">
      <formula>NOT(ISERROR(SEARCH("Specify ",G44)))</formula>
    </cfRule>
  </conditionalFormatting>
  <conditionalFormatting sqref="H44">
    <cfRule type="containsText" dxfId="257" priority="256" operator="containsText" text="Max">
      <formula>NOT(ISERROR(SEARCH("Max",H44)))</formula>
    </cfRule>
    <cfRule type="containsText" dxfId="256" priority="257" operator="containsText" text="Min">
      <formula>NOT(ISERROR(SEARCH("Min",H44)))</formula>
    </cfRule>
    <cfRule type="containsText" dxfId="255" priority="258" operator="containsText" text="Specify ">
      <formula>NOT(ISERROR(SEARCH("Specify ",H44)))</formula>
    </cfRule>
  </conditionalFormatting>
  <conditionalFormatting sqref="J44 L44">
    <cfRule type="containsText" dxfId="254" priority="253" operator="containsText" text="Max">
      <formula>NOT(ISERROR(SEARCH("Max",J44)))</formula>
    </cfRule>
    <cfRule type="containsText" dxfId="253" priority="254" operator="containsText" text="Min">
      <formula>NOT(ISERROR(SEARCH("Min",J44)))</formula>
    </cfRule>
    <cfRule type="containsText" dxfId="252" priority="255" operator="containsText" text="Specify ">
      <formula>NOT(ISERROR(SEARCH("Specify ",J44)))</formula>
    </cfRule>
  </conditionalFormatting>
  <conditionalFormatting sqref="K44">
    <cfRule type="containsText" dxfId="251" priority="250" operator="containsText" text="Max">
      <formula>NOT(ISERROR(SEARCH("Max",K44)))</formula>
    </cfRule>
    <cfRule type="containsText" dxfId="250" priority="251" operator="containsText" text="Min">
      <formula>NOT(ISERROR(SEARCH("Min",K44)))</formula>
    </cfRule>
    <cfRule type="containsText" dxfId="249" priority="252" operator="containsText" text="Specify ">
      <formula>NOT(ISERROR(SEARCH("Specify ",K44)))</formula>
    </cfRule>
  </conditionalFormatting>
  <conditionalFormatting sqref="M44 O44">
    <cfRule type="containsText" dxfId="248" priority="247" operator="containsText" text="Max">
      <formula>NOT(ISERROR(SEARCH("Max",M44)))</formula>
    </cfRule>
    <cfRule type="containsText" dxfId="247" priority="248" operator="containsText" text="Min">
      <formula>NOT(ISERROR(SEARCH("Min",M44)))</formula>
    </cfRule>
    <cfRule type="containsText" dxfId="246" priority="249" operator="containsText" text="Specify ">
      <formula>NOT(ISERROR(SEARCH("Specify ",M44)))</formula>
    </cfRule>
  </conditionalFormatting>
  <conditionalFormatting sqref="N44">
    <cfRule type="containsText" dxfId="245" priority="244" operator="containsText" text="Max">
      <formula>NOT(ISERROR(SEARCH("Max",N44)))</formula>
    </cfRule>
    <cfRule type="containsText" dxfId="244" priority="245" operator="containsText" text="Min">
      <formula>NOT(ISERROR(SEARCH("Min",N44)))</formula>
    </cfRule>
    <cfRule type="containsText" dxfId="243" priority="246" operator="containsText" text="Specify ">
      <formula>NOT(ISERROR(SEARCH("Specify ",N44)))</formula>
    </cfRule>
  </conditionalFormatting>
  <conditionalFormatting sqref="G46 I46">
    <cfRule type="containsText" dxfId="242" priority="241" operator="containsText" text="Max">
      <formula>NOT(ISERROR(SEARCH("Max",G46)))</formula>
    </cfRule>
    <cfRule type="containsText" dxfId="241" priority="242" operator="containsText" text="Min">
      <formula>NOT(ISERROR(SEARCH("Min",G46)))</formula>
    </cfRule>
    <cfRule type="containsText" dxfId="240" priority="243" operator="containsText" text="Specify ">
      <formula>NOT(ISERROR(SEARCH("Specify ",G46)))</formula>
    </cfRule>
  </conditionalFormatting>
  <conditionalFormatting sqref="H46">
    <cfRule type="containsText" dxfId="239" priority="238" operator="containsText" text="Max">
      <formula>NOT(ISERROR(SEARCH("Max",H46)))</formula>
    </cfRule>
    <cfRule type="containsText" dxfId="238" priority="239" operator="containsText" text="Min">
      <formula>NOT(ISERROR(SEARCH("Min",H46)))</formula>
    </cfRule>
    <cfRule type="containsText" dxfId="237" priority="240" operator="containsText" text="Specify ">
      <formula>NOT(ISERROR(SEARCH("Specify ",H46)))</formula>
    </cfRule>
  </conditionalFormatting>
  <conditionalFormatting sqref="J46 L46">
    <cfRule type="containsText" dxfId="236" priority="235" operator="containsText" text="Max">
      <formula>NOT(ISERROR(SEARCH("Max",J46)))</formula>
    </cfRule>
    <cfRule type="containsText" dxfId="235" priority="236" operator="containsText" text="Min">
      <formula>NOT(ISERROR(SEARCH("Min",J46)))</formula>
    </cfRule>
    <cfRule type="containsText" dxfId="234" priority="237" operator="containsText" text="Specify ">
      <formula>NOT(ISERROR(SEARCH("Specify ",J46)))</formula>
    </cfRule>
  </conditionalFormatting>
  <conditionalFormatting sqref="K46">
    <cfRule type="containsText" dxfId="233" priority="232" operator="containsText" text="Max">
      <formula>NOT(ISERROR(SEARCH("Max",K46)))</formula>
    </cfRule>
    <cfRule type="containsText" dxfId="232" priority="233" operator="containsText" text="Min">
      <formula>NOT(ISERROR(SEARCH("Min",K46)))</formula>
    </cfRule>
    <cfRule type="containsText" dxfId="231" priority="234" operator="containsText" text="Specify ">
      <formula>NOT(ISERROR(SEARCH("Specify ",K46)))</formula>
    </cfRule>
  </conditionalFormatting>
  <conditionalFormatting sqref="M46 O46">
    <cfRule type="containsText" dxfId="230" priority="229" operator="containsText" text="Max">
      <formula>NOT(ISERROR(SEARCH("Max",M46)))</formula>
    </cfRule>
    <cfRule type="containsText" dxfId="229" priority="230" operator="containsText" text="Min">
      <formula>NOT(ISERROR(SEARCH("Min",M46)))</formula>
    </cfRule>
    <cfRule type="containsText" dxfId="228" priority="231" operator="containsText" text="Specify ">
      <formula>NOT(ISERROR(SEARCH("Specify ",M46)))</formula>
    </cfRule>
  </conditionalFormatting>
  <conditionalFormatting sqref="N46">
    <cfRule type="containsText" dxfId="227" priority="226" operator="containsText" text="Max">
      <formula>NOT(ISERROR(SEARCH("Max",N46)))</formula>
    </cfRule>
    <cfRule type="containsText" dxfId="226" priority="227" operator="containsText" text="Min">
      <formula>NOT(ISERROR(SEARCH("Min",N46)))</formula>
    </cfRule>
    <cfRule type="containsText" dxfId="225" priority="228" operator="containsText" text="Specify ">
      <formula>NOT(ISERROR(SEARCH("Specify ",N46)))</formula>
    </cfRule>
  </conditionalFormatting>
  <conditionalFormatting sqref="G48 I48 G49:O49">
    <cfRule type="containsText" dxfId="224" priority="223" operator="containsText" text="Max">
      <formula>NOT(ISERROR(SEARCH("Max",G48)))</formula>
    </cfRule>
    <cfRule type="containsText" dxfId="223" priority="224" operator="containsText" text="Min">
      <formula>NOT(ISERROR(SEARCH("Min",G48)))</formula>
    </cfRule>
    <cfRule type="containsText" dxfId="222" priority="225" operator="containsText" text="Specify ">
      <formula>NOT(ISERROR(SEARCH("Specify ",G48)))</formula>
    </cfRule>
  </conditionalFormatting>
  <conditionalFormatting sqref="H48">
    <cfRule type="containsText" dxfId="221" priority="220" operator="containsText" text="Max">
      <formula>NOT(ISERROR(SEARCH("Max",H48)))</formula>
    </cfRule>
    <cfRule type="containsText" dxfId="220" priority="221" operator="containsText" text="Min">
      <formula>NOT(ISERROR(SEARCH("Min",H48)))</formula>
    </cfRule>
    <cfRule type="containsText" dxfId="219" priority="222" operator="containsText" text="Specify ">
      <formula>NOT(ISERROR(SEARCH("Specify ",H48)))</formula>
    </cfRule>
  </conditionalFormatting>
  <conditionalFormatting sqref="J48 L48">
    <cfRule type="containsText" dxfId="218" priority="217" operator="containsText" text="Max">
      <formula>NOT(ISERROR(SEARCH("Max",J48)))</formula>
    </cfRule>
    <cfRule type="containsText" dxfId="217" priority="218" operator="containsText" text="Min">
      <formula>NOT(ISERROR(SEARCH("Min",J48)))</formula>
    </cfRule>
    <cfRule type="containsText" dxfId="216" priority="219" operator="containsText" text="Specify ">
      <formula>NOT(ISERROR(SEARCH("Specify ",J48)))</formula>
    </cfRule>
  </conditionalFormatting>
  <conditionalFormatting sqref="K48">
    <cfRule type="containsText" dxfId="215" priority="214" operator="containsText" text="Max">
      <formula>NOT(ISERROR(SEARCH("Max",K48)))</formula>
    </cfRule>
    <cfRule type="containsText" dxfId="214" priority="215" operator="containsText" text="Min">
      <formula>NOT(ISERROR(SEARCH("Min",K48)))</formula>
    </cfRule>
    <cfRule type="containsText" dxfId="213" priority="216" operator="containsText" text="Specify ">
      <formula>NOT(ISERROR(SEARCH("Specify ",K48)))</formula>
    </cfRule>
  </conditionalFormatting>
  <conditionalFormatting sqref="M48 O48">
    <cfRule type="containsText" dxfId="212" priority="211" operator="containsText" text="Max">
      <formula>NOT(ISERROR(SEARCH("Max",M48)))</formula>
    </cfRule>
    <cfRule type="containsText" dxfId="211" priority="212" operator="containsText" text="Min">
      <formula>NOT(ISERROR(SEARCH("Min",M48)))</formula>
    </cfRule>
    <cfRule type="containsText" dxfId="210" priority="213" operator="containsText" text="Specify ">
      <formula>NOT(ISERROR(SEARCH("Specify ",M48)))</formula>
    </cfRule>
  </conditionalFormatting>
  <conditionalFormatting sqref="N48">
    <cfRule type="containsText" dxfId="209" priority="208" operator="containsText" text="Max">
      <formula>NOT(ISERROR(SEARCH("Max",N48)))</formula>
    </cfRule>
    <cfRule type="containsText" dxfId="208" priority="209" operator="containsText" text="Min">
      <formula>NOT(ISERROR(SEARCH("Min",N48)))</formula>
    </cfRule>
    <cfRule type="containsText" dxfId="207" priority="210" operator="containsText" text="Specify ">
      <formula>NOT(ISERROR(SEARCH("Specify ",N48)))</formula>
    </cfRule>
  </conditionalFormatting>
  <conditionalFormatting sqref="G50 I50">
    <cfRule type="containsText" dxfId="206" priority="205" operator="containsText" text="Max">
      <formula>NOT(ISERROR(SEARCH("Max",G50)))</formula>
    </cfRule>
    <cfRule type="containsText" dxfId="205" priority="206" operator="containsText" text="Min">
      <formula>NOT(ISERROR(SEARCH("Min",G50)))</formula>
    </cfRule>
    <cfRule type="containsText" dxfId="204" priority="207" operator="containsText" text="Specify ">
      <formula>NOT(ISERROR(SEARCH("Specify ",G50)))</formula>
    </cfRule>
  </conditionalFormatting>
  <conditionalFormatting sqref="H50">
    <cfRule type="containsText" dxfId="203" priority="202" operator="containsText" text="Max">
      <formula>NOT(ISERROR(SEARCH("Max",H50)))</formula>
    </cfRule>
    <cfRule type="containsText" dxfId="202" priority="203" operator="containsText" text="Min">
      <formula>NOT(ISERROR(SEARCH("Min",H50)))</formula>
    </cfRule>
    <cfRule type="containsText" dxfId="201" priority="204" operator="containsText" text="Specify ">
      <formula>NOT(ISERROR(SEARCH("Specify ",H50)))</formula>
    </cfRule>
  </conditionalFormatting>
  <conditionalFormatting sqref="J50 L50">
    <cfRule type="containsText" dxfId="200" priority="199" operator="containsText" text="Max">
      <formula>NOT(ISERROR(SEARCH("Max",J50)))</formula>
    </cfRule>
    <cfRule type="containsText" dxfId="199" priority="200" operator="containsText" text="Min">
      <formula>NOT(ISERROR(SEARCH("Min",J50)))</formula>
    </cfRule>
    <cfRule type="containsText" dxfId="198" priority="201" operator="containsText" text="Specify ">
      <formula>NOT(ISERROR(SEARCH("Specify ",J50)))</formula>
    </cfRule>
  </conditionalFormatting>
  <conditionalFormatting sqref="K50">
    <cfRule type="containsText" dxfId="197" priority="196" operator="containsText" text="Max">
      <formula>NOT(ISERROR(SEARCH("Max",K50)))</formula>
    </cfRule>
    <cfRule type="containsText" dxfId="196" priority="197" operator="containsText" text="Min">
      <formula>NOT(ISERROR(SEARCH("Min",K50)))</formula>
    </cfRule>
    <cfRule type="containsText" dxfId="195" priority="198" operator="containsText" text="Specify ">
      <formula>NOT(ISERROR(SEARCH("Specify ",K50)))</formula>
    </cfRule>
  </conditionalFormatting>
  <conditionalFormatting sqref="M50 O50">
    <cfRule type="containsText" dxfId="194" priority="193" operator="containsText" text="Max">
      <formula>NOT(ISERROR(SEARCH("Max",M50)))</formula>
    </cfRule>
    <cfRule type="containsText" dxfId="193" priority="194" operator="containsText" text="Min">
      <formula>NOT(ISERROR(SEARCH("Min",M50)))</formula>
    </cfRule>
    <cfRule type="containsText" dxfId="192" priority="195" operator="containsText" text="Specify ">
      <formula>NOT(ISERROR(SEARCH("Specify ",M50)))</formula>
    </cfRule>
  </conditionalFormatting>
  <conditionalFormatting sqref="N50">
    <cfRule type="containsText" dxfId="191" priority="190" operator="containsText" text="Max">
      <formula>NOT(ISERROR(SEARCH("Max",N50)))</formula>
    </cfRule>
    <cfRule type="containsText" dxfId="190" priority="191" operator="containsText" text="Min">
      <formula>NOT(ISERROR(SEARCH("Min",N50)))</formula>
    </cfRule>
    <cfRule type="containsText" dxfId="189" priority="192" operator="containsText" text="Specify ">
      <formula>NOT(ISERROR(SEARCH("Specify ",N50)))</formula>
    </cfRule>
  </conditionalFormatting>
  <conditionalFormatting sqref="G54:O54">
    <cfRule type="containsText" dxfId="188" priority="187" operator="containsText" text="Max">
      <formula>NOT(ISERROR(SEARCH("Max",G54)))</formula>
    </cfRule>
    <cfRule type="containsText" dxfId="187" priority="188" operator="containsText" text="Min">
      <formula>NOT(ISERROR(SEARCH("Min",G54)))</formula>
    </cfRule>
    <cfRule type="containsText" dxfId="186" priority="189" operator="containsText" text="Specify ">
      <formula>NOT(ISERROR(SEARCH("Specify ",G54)))</formula>
    </cfRule>
  </conditionalFormatting>
  <conditionalFormatting sqref="G55 I55 G56:O56">
    <cfRule type="containsText" dxfId="185" priority="184" operator="containsText" text="Max">
      <formula>NOT(ISERROR(SEARCH("Max",G55)))</formula>
    </cfRule>
    <cfRule type="containsText" dxfId="184" priority="185" operator="containsText" text="Min">
      <formula>NOT(ISERROR(SEARCH("Min",G55)))</formula>
    </cfRule>
    <cfRule type="containsText" dxfId="183" priority="186" operator="containsText" text="Specify ">
      <formula>NOT(ISERROR(SEARCH("Specify ",G55)))</formula>
    </cfRule>
  </conditionalFormatting>
  <conditionalFormatting sqref="H55">
    <cfRule type="containsText" dxfId="182" priority="181" operator="containsText" text="Max">
      <formula>NOT(ISERROR(SEARCH("Max",H55)))</formula>
    </cfRule>
    <cfRule type="containsText" dxfId="181" priority="182" operator="containsText" text="Min">
      <formula>NOT(ISERROR(SEARCH("Min",H55)))</formula>
    </cfRule>
    <cfRule type="containsText" dxfId="180" priority="183" operator="containsText" text="Specify ">
      <formula>NOT(ISERROR(SEARCH("Specify ",H55)))</formula>
    </cfRule>
  </conditionalFormatting>
  <conditionalFormatting sqref="J55 L55">
    <cfRule type="containsText" dxfId="179" priority="178" operator="containsText" text="Max">
      <formula>NOT(ISERROR(SEARCH("Max",J55)))</formula>
    </cfRule>
    <cfRule type="containsText" dxfId="178" priority="179" operator="containsText" text="Min">
      <formula>NOT(ISERROR(SEARCH("Min",J55)))</formula>
    </cfRule>
    <cfRule type="containsText" dxfId="177" priority="180" operator="containsText" text="Specify ">
      <formula>NOT(ISERROR(SEARCH("Specify ",J55)))</formula>
    </cfRule>
  </conditionalFormatting>
  <conditionalFormatting sqref="K55">
    <cfRule type="containsText" dxfId="176" priority="175" operator="containsText" text="Max">
      <formula>NOT(ISERROR(SEARCH("Max",K55)))</formula>
    </cfRule>
    <cfRule type="containsText" dxfId="175" priority="176" operator="containsText" text="Min">
      <formula>NOT(ISERROR(SEARCH("Min",K55)))</formula>
    </cfRule>
    <cfRule type="containsText" dxfId="174" priority="177" operator="containsText" text="Specify ">
      <formula>NOT(ISERROR(SEARCH("Specify ",K55)))</formula>
    </cfRule>
  </conditionalFormatting>
  <conditionalFormatting sqref="M55 O55">
    <cfRule type="containsText" dxfId="173" priority="172" operator="containsText" text="Max">
      <formula>NOT(ISERROR(SEARCH("Max",M55)))</formula>
    </cfRule>
    <cfRule type="containsText" dxfId="172" priority="173" operator="containsText" text="Min">
      <formula>NOT(ISERROR(SEARCH("Min",M55)))</formula>
    </cfRule>
    <cfRule type="containsText" dxfId="171" priority="174" operator="containsText" text="Specify ">
      <formula>NOT(ISERROR(SEARCH("Specify ",M55)))</formula>
    </cfRule>
  </conditionalFormatting>
  <conditionalFormatting sqref="N55">
    <cfRule type="containsText" dxfId="170" priority="169" operator="containsText" text="Max">
      <formula>NOT(ISERROR(SEARCH("Max",N55)))</formula>
    </cfRule>
    <cfRule type="containsText" dxfId="169" priority="170" operator="containsText" text="Min">
      <formula>NOT(ISERROR(SEARCH("Min",N55)))</formula>
    </cfRule>
    <cfRule type="containsText" dxfId="168" priority="171" operator="containsText" text="Specify ">
      <formula>NOT(ISERROR(SEARCH("Specify ",N55)))</formula>
    </cfRule>
  </conditionalFormatting>
  <conditionalFormatting sqref="G57 I57">
    <cfRule type="containsText" dxfId="167" priority="166" operator="containsText" text="Max">
      <formula>NOT(ISERROR(SEARCH("Max",G57)))</formula>
    </cfRule>
    <cfRule type="containsText" dxfId="166" priority="167" operator="containsText" text="Min">
      <formula>NOT(ISERROR(SEARCH("Min",G57)))</formula>
    </cfRule>
    <cfRule type="containsText" dxfId="165" priority="168" operator="containsText" text="Specify ">
      <formula>NOT(ISERROR(SEARCH("Specify ",G57)))</formula>
    </cfRule>
  </conditionalFormatting>
  <conditionalFormatting sqref="H57">
    <cfRule type="containsText" dxfId="164" priority="163" operator="containsText" text="Max">
      <formula>NOT(ISERROR(SEARCH("Max",H57)))</formula>
    </cfRule>
    <cfRule type="containsText" dxfId="163" priority="164" operator="containsText" text="Min">
      <formula>NOT(ISERROR(SEARCH("Min",H57)))</formula>
    </cfRule>
    <cfRule type="containsText" dxfId="162" priority="165" operator="containsText" text="Specify ">
      <formula>NOT(ISERROR(SEARCH("Specify ",H57)))</formula>
    </cfRule>
  </conditionalFormatting>
  <conditionalFormatting sqref="J57 L57">
    <cfRule type="containsText" dxfId="161" priority="160" operator="containsText" text="Max">
      <formula>NOT(ISERROR(SEARCH("Max",J57)))</formula>
    </cfRule>
    <cfRule type="containsText" dxfId="160" priority="161" operator="containsText" text="Min">
      <formula>NOT(ISERROR(SEARCH("Min",J57)))</formula>
    </cfRule>
    <cfRule type="containsText" dxfId="159" priority="162" operator="containsText" text="Specify ">
      <formula>NOT(ISERROR(SEARCH("Specify ",J57)))</formula>
    </cfRule>
  </conditionalFormatting>
  <conditionalFormatting sqref="K57">
    <cfRule type="containsText" dxfId="158" priority="157" operator="containsText" text="Max">
      <formula>NOT(ISERROR(SEARCH("Max",K57)))</formula>
    </cfRule>
    <cfRule type="containsText" dxfId="157" priority="158" operator="containsText" text="Min">
      <formula>NOT(ISERROR(SEARCH("Min",K57)))</formula>
    </cfRule>
    <cfRule type="containsText" dxfId="156" priority="159" operator="containsText" text="Specify ">
      <formula>NOT(ISERROR(SEARCH("Specify ",K57)))</formula>
    </cfRule>
  </conditionalFormatting>
  <conditionalFormatting sqref="M57 O57">
    <cfRule type="containsText" dxfId="155" priority="154" operator="containsText" text="Max">
      <formula>NOT(ISERROR(SEARCH("Max",M57)))</formula>
    </cfRule>
    <cfRule type="containsText" dxfId="154" priority="155" operator="containsText" text="Min">
      <formula>NOT(ISERROR(SEARCH("Min",M57)))</formula>
    </cfRule>
    <cfRule type="containsText" dxfId="153" priority="156" operator="containsText" text="Specify ">
      <formula>NOT(ISERROR(SEARCH("Specify ",M57)))</formula>
    </cfRule>
  </conditionalFormatting>
  <conditionalFormatting sqref="N57">
    <cfRule type="containsText" dxfId="152" priority="151" operator="containsText" text="Max">
      <formula>NOT(ISERROR(SEARCH("Max",N57)))</formula>
    </cfRule>
    <cfRule type="containsText" dxfId="151" priority="152" operator="containsText" text="Min">
      <formula>NOT(ISERROR(SEARCH("Min",N57)))</formula>
    </cfRule>
    <cfRule type="containsText" dxfId="150" priority="153" operator="containsText" text="Specify ">
      <formula>NOT(ISERROR(SEARCH("Specify ",N57)))</formula>
    </cfRule>
  </conditionalFormatting>
  <conditionalFormatting sqref="G61:O61">
    <cfRule type="containsText" dxfId="149" priority="148" operator="containsText" text="Max">
      <formula>NOT(ISERROR(SEARCH("Max",G61)))</formula>
    </cfRule>
    <cfRule type="containsText" dxfId="148" priority="149" operator="containsText" text="Min">
      <formula>NOT(ISERROR(SEARCH("Min",G61)))</formula>
    </cfRule>
    <cfRule type="containsText" dxfId="147" priority="150" operator="containsText" text="Specify ">
      <formula>NOT(ISERROR(SEARCH("Specify ",G61)))</formula>
    </cfRule>
  </conditionalFormatting>
  <conditionalFormatting sqref="G62 I62 G63:O63 G65:O65">
    <cfRule type="containsText" dxfId="146" priority="145" operator="containsText" text="Max">
      <formula>NOT(ISERROR(SEARCH("Max",G62)))</formula>
    </cfRule>
    <cfRule type="containsText" dxfId="145" priority="146" operator="containsText" text="Min">
      <formula>NOT(ISERROR(SEARCH("Min",G62)))</formula>
    </cfRule>
    <cfRule type="containsText" dxfId="144" priority="147" operator="containsText" text="Specify ">
      <formula>NOT(ISERROR(SEARCH("Specify ",G62)))</formula>
    </cfRule>
  </conditionalFormatting>
  <conditionalFormatting sqref="H62">
    <cfRule type="containsText" dxfId="143" priority="142" operator="containsText" text="Max">
      <formula>NOT(ISERROR(SEARCH("Max",H62)))</formula>
    </cfRule>
    <cfRule type="containsText" dxfId="142" priority="143" operator="containsText" text="Min">
      <formula>NOT(ISERROR(SEARCH("Min",H62)))</formula>
    </cfRule>
    <cfRule type="containsText" dxfId="141" priority="144" operator="containsText" text="Specify ">
      <formula>NOT(ISERROR(SEARCH("Specify ",H62)))</formula>
    </cfRule>
  </conditionalFormatting>
  <conditionalFormatting sqref="J62 L62">
    <cfRule type="containsText" dxfId="140" priority="139" operator="containsText" text="Max">
      <formula>NOT(ISERROR(SEARCH("Max",J62)))</formula>
    </cfRule>
    <cfRule type="containsText" dxfId="139" priority="140" operator="containsText" text="Min">
      <formula>NOT(ISERROR(SEARCH("Min",J62)))</formula>
    </cfRule>
    <cfRule type="containsText" dxfId="138" priority="141" operator="containsText" text="Specify ">
      <formula>NOT(ISERROR(SEARCH("Specify ",J62)))</formula>
    </cfRule>
  </conditionalFormatting>
  <conditionalFormatting sqref="K62">
    <cfRule type="containsText" dxfId="137" priority="136" operator="containsText" text="Max">
      <formula>NOT(ISERROR(SEARCH("Max",K62)))</formula>
    </cfRule>
    <cfRule type="containsText" dxfId="136" priority="137" operator="containsText" text="Min">
      <formula>NOT(ISERROR(SEARCH("Min",K62)))</formula>
    </cfRule>
    <cfRule type="containsText" dxfId="135" priority="138" operator="containsText" text="Specify ">
      <formula>NOT(ISERROR(SEARCH("Specify ",K62)))</formula>
    </cfRule>
  </conditionalFormatting>
  <conditionalFormatting sqref="M62 O62">
    <cfRule type="containsText" dxfId="134" priority="133" operator="containsText" text="Max">
      <formula>NOT(ISERROR(SEARCH("Max",M62)))</formula>
    </cfRule>
    <cfRule type="containsText" dxfId="133" priority="134" operator="containsText" text="Min">
      <formula>NOT(ISERROR(SEARCH("Min",M62)))</formula>
    </cfRule>
    <cfRule type="containsText" dxfId="132" priority="135" operator="containsText" text="Specify ">
      <formula>NOT(ISERROR(SEARCH("Specify ",M62)))</formula>
    </cfRule>
  </conditionalFormatting>
  <conditionalFormatting sqref="N62">
    <cfRule type="containsText" dxfId="131" priority="130" operator="containsText" text="Max">
      <formula>NOT(ISERROR(SEARCH("Max",N62)))</formula>
    </cfRule>
    <cfRule type="containsText" dxfId="130" priority="131" operator="containsText" text="Min">
      <formula>NOT(ISERROR(SEARCH("Min",N62)))</formula>
    </cfRule>
    <cfRule type="containsText" dxfId="129" priority="132" operator="containsText" text="Specify ">
      <formula>NOT(ISERROR(SEARCH("Specify ",N62)))</formula>
    </cfRule>
  </conditionalFormatting>
  <conditionalFormatting sqref="G64 I64">
    <cfRule type="containsText" dxfId="128" priority="127" operator="containsText" text="Max">
      <formula>NOT(ISERROR(SEARCH("Max",G64)))</formula>
    </cfRule>
    <cfRule type="containsText" dxfId="127" priority="128" operator="containsText" text="Min">
      <formula>NOT(ISERROR(SEARCH("Min",G64)))</formula>
    </cfRule>
    <cfRule type="containsText" dxfId="126" priority="129" operator="containsText" text="Specify ">
      <formula>NOT(ISERROR(SEARCH("Specify ",G64)))</formula>
    </cfRule>
  </conditionalFormatting>
  <conditionalFormatting sqref="H64">
    <cfRule type="containsText" dxfId="125" priority="124" operator="containsText" text="Max">
      <formula>NOT(ISERROR(SEARCH("Max",H64)))</formula>
    </cfRule>
    <cfRule type="containsText" dxfId="124" priority="125" operator="containsText" text="Min">
      <formula>NOT(ISERROR(SEARCH("Min",H64)))</formula>
    </cfRule>
    <cfRule type="containsText" dxfId="123" priority="126" operator="containsText" text="Specify ">
      <formula>NOT(ISERROR(SEARCH("Specify ",H64)))</formula>
    </cfRule>
  </conditionalFormatting>
  <conditionalFormatting sqref="J64 L64">
    <cfRule type="containsText" dxfId="122" priority="121" operator="containsText" text="Max">
      <formula>NOT(ISERROR(SEARCH("Max",J64)))</formula>
    </cfRule>
    <cfRule type="containsText" dxfId="121" priority="122" operator="containsText" text="Min">
      <formula>NOT(ISERROR(SEARCH("Min",J64)))</formula>
    </cfRule>
    <cfRule type="containsText" dxfId="120" priority="123" operator="containsText" text="Specify ">
      <formula>NOT(ISERROR(SEARCH("Specify ",J64)))</formula>
    </cfRule>
  </conditionalFormatting>
  <conditionalFormatting sqref="K64">
    <cfRule type="containsText" dxfId="119" priority="118" operator="containsText" text="Max">
      <formula>NOT(ISERROR(SEARCH("Max",K64)))</formula>
    </cfRule>
    <cfRule type="containsText" dxfId="118" priority="119" operator="containsText" text="Min">
      <formula>NOT(ISERROR(SEARCH("Min",K64)))</formula>
    </cfRule>
    <cfRule type="containsText" dxfId="117" priority="120" operator="containsText" text="Specify ">
      <formula>NOT(ISERROR(SEARCH("Specify ",K64)))</formula>
    </cfRule>
  </conditionalFormatting>
  <conditionalFormatting sqref="M64 O64">
    <cfRule type="containsText" dxfId="116" priority="115" operator="containsText" text="Max">
      <formula>NOT(ISERROR(SEARCH("Max",M64)))</formula>
    </cfRule>
    <cfRule type="containsText" dxfId="115" priority="116" operator="containsText" text="Min">
      <formula>NOT(ISERROR(SEARCH("Min",M64)))</formula>
    </cfRule>
    <cfRule type="containsText" dxfId="114" priority="117" operator="containsText" text="Specify ">
      <formula>NOT(ISERROR(SEARCH("Specify ",M64)))</formula>
    </cfRule>
  </conditionalFormatting>
  <conditionalFormatting sqref="N64">
    <cfRule type="containsText" dxfId="113" priority="112" operator="containsText" text="Max">
      <formula>NOT(ISERROR(SEARCH("Max",N64)))</formula>
    </cfRule>
    <cfRule type="containsText" dxfId="112" priority="113" operator="containsText" text="Min">
      <formula>NOT(ISERROR(SEARCH("Min",N64)))</formula>
    </cfRule>
    <cfRule type="containsText" dxfId="111" priority="114" operator="containsText" text="Specify ">
      <formula>NOT(ISERROR(SEARCH("Specify ",N64)))</formula>
    </cfRule>
  </conditionalFormatting>
  <conditionalFormatting sqref="G66 I66 G67:O67">
    <cfRule type="containsText" dxfId="110" priority="109" operator="containsText" text="Max">
      <formula>NOT(ISERROR(SEARCH("Max",G66)))</formula>
    </cfRule>
    <cfRule type="containsText" dxfId="109" priority="110" operator="containsText" text="Min">
      <formula>NOT(ISERROR(SEARCH("Min",G66)))</formula>
    </cfRule>
    <cfRule type="containsText" dxfId="108" priority="111" operator="containsText" text="Specify ">
      <formula>NOT(ISERROR(SEARCH("Specify ",G66)))</formula>
    </cfRule>
  </conditionalFormatting>
  <conditionalFormatting sqref="H66">
    <cfRule type="containsText" dxfId="107" priority="106" operator="containsText" text="Max">
      <formula>NOT(ISERROR(SEARCH("Max",H66)))</formula>
    </cfRule>
    <cfRule type="containsText" dxfId="106" priority="107" operator="containsText" text="Min">
      <formula>NOT(ISERROR(SEARCH("Min",H66)))</formula>
    </cfRule>
    <cfRule type="containsText" dxfId="105" priority="108" operator="containsText" text="Specify ">
      <formula>NOT(ISERROR(SEARCH("Specify ",H66)))</formula>
    </cfRule>
  </conditionalFormatting>
  <conditionalFormatting sqref="J66 L66">
    <cfRule type="containsText" dxfId="104" priority="103" operator="containsText" text="Max">
      <formula>NOT(ISERROR(SEARCH("Max",J66)))</formula>
    </cfRule>
    <cfRule type="containsText" dxfId="103" priority="104" operator="containsText" text="Min">
      <formula>NOT(ISERROR(SEARCH("Min",J66)))</formula>
    </cfRule>
    <cfRule type="containsText" dxfId="102" priority="105" operator="containsText" text="Specify ">
      <formula>NOT(ISERROR(SEARCH("Specify ",J66)))</formula>
    </cfRule>
  </conditionalFormatting>
  <conditionalFormatting sqref="K66">
    <cfRule type="containsText" dxfId="101" priority="100" operator="containsText" text="Max">
      <formula>NOT(ISERROR(SEARCH("Max",K66)))</formula>
    </cfRule>
    <cfRule type="containsText" dxfId="100" priority="101" operator="containsText" text="Min">
      <formula>NOT(ISERROR(SEARCH("Min",K66)))</formula>
    </cfRule>
    <cfRule type="containsText" dxfId="99" priority="102" operator="containsText" text="Specify ">
      <formula>NOT(ISERROR(SEARCH("Specify ",K66)))</formula>
    </cfRule>
  </conditionalFormatting>
  <conditionalFormatting sqref="M66 O66">
    <cfRule type="containsText" dxfId="98" priority="97" operator="containsText" text="Max">
      <formula>NOT(ISERROR(SEARCH("Max",M66)))</formula>
    </cfRule>
    <cfRule type="containsText" dxfId="97" priority="98" operator="containsText" text="Min">
      <formula>NOT(ISERROR(SEARCH("Min",M66)))</formula>
    </cfRule>
    <cfRule type="containsText" dxfId="96" priority="99" operator="containsText" text="Specify ">
      <formula>NOT(ISERROR(SEARCH("Specify ",M66)))</formula>
    </cfRule>
  </conditionalFormatting>
  <conditionalFormatting sqref="N66">
    <cfRule type="containsText" dxfId="95" priority="94" operator="containsText" text="Max">
      <formula>NOT(ISERROR(SEARCH("Max",N66)))</formula>
    </cfRule>
    <cfRule type="containsText" dxfId="94" priority="95" operator="containsText" text="Min">
      <formula>NOT(ISERROR(SEARCH("Min",N66)))</formula>
    </cfRule>
    <cfRule type="containsText" dxfId="93" priority="96" operator="containsText" text="Specify ">
      <formula>NOT(ISERROR(SEARCH("Specify ",N66)))</formula>
    </cfRule>
  </conditionalFormatting>
  <conditionalFormatting sqref="G68 I68">
    <cfRule type="containsText" dxfId="92" priority="91" operator="containsText" text="Max">
      <formula>NOT(ISERROR(SEARCH("Max",G68)))</formula>
    </cfRule>
    <cfRule type="containsText" dxfId="91" priority="92" operator="containsText" text="Min">
      <formula>NOT(ISERROR(SEARCH("Min",G68)))</formula>
    </cfRule>
    <cfRule type="containsText" dxfId="90" priority="93" operator="containsText" text="Specify ">
      <formula>NOT(ISERROR(SEARCH("Specify ",G68)))</formula>
    </cfRule>
  </conditionalFormatting>
  <conditionalFormatting sqref="H68">
    <cfRule type="containsText" dxfId="89" priority="88" operator="containsText" text="Max">
      <formula>NOT(ISERROR(SEARCH("Max",H68)))</formula>
    </cfRule>
    <cfRule type="containsText" dxfId="88" priority="89" operator="containsText" text="Min">
      <formula>NOT(ISERROR(SEARCH("Min",H68)))</formula>
    </cfRule>
    <cfRule type="containsText" dxfId="87" priority="90" operator="containsText" text="Specify ">
      <formula>NOT(ISERROR(SEARCH("Specify ",H68)))</formula>
    </cfRule>
  </conditionalFormatting>
  <conditionalFormatting sqref="J68 L68">
    <cfRule type="containsText" dxfId="86" priority="85" operator="containsText" text="Max">
      <formula>NOT(ISERROR(SEARCH("Max",J68)))</formula>
    </cfRule>
    <cfRule type="containsText" dxfId="85" priority="86" operator="containsText" text="Min">
      <formula>NOT(ISERROR(SEARCH("Min",J68)))</formula>
    </cfRule>
    <cfRule type="containsText" dxfId="84" priority="87" operator="containsText" text="Specify ">
      <formula>NOT(ISERROR(SEARCH("Specify ",J68)))</formula>
    </cfRule>
  </conditionalFormatting>
  <conditionalFormatting sqref="K68">
    <cfRule type="containsText" dxfId="83" priority="82" operator="containsText" text="Max">
      <formula>NOT(ISERROR(SEARCH("Max",K68)))</formula>
    </cfRule>
    <cfRule type="containsText" dxfId="82" priority="83" operator="containsText" text="Min">
      <formula>NOT(ISERROR(SEARCH("Min",K68)))</formula>
    </cfRule>
    <cfRule type="containsText" dxfId="81" priority="84" operator="containsText" text="Specify ">
      <formula>NOT(ISERROR(SEARCH("Specify ",K68)))</formula>
    </cfRule>
  </conditionalFormatting>
  <conditionalFormatting sqref="M68 O68">
    <cfRule type="containsText" dxfId="80" priority="79" operator="containsText" text="Max">
      <formula>NOT(ISERROR(SEARCH("Max",M68)))</formula>
    </cfRule>
    <cfRule type="containsText" dxfId="79" priority="80" operator="containsText" text="Min">
      <formula>NOT(ISERROR(SEARCH("Min",M68)))</formula>
    </cfRule>
    <cfRule type="containsText" dxfId="78" priority="81" operator="containsText" text="Specify ">
      <formula>NOT(ISERROR(SEARCH("Specify ",M68)))</formula>
    </cfRule>
  </conditionalFormatting>
  <conditionalFormatting sqref="N68">
    <cfRule type="containsText" dxfId="77" priority="76" operator="containsText" text="Max">
      <formula>NOT(ISERROR(SEARCH("Max",N68)))</formula>
    </cfRule>
    <cfRule type="containsText" dxfId="76" priority="77" operator="containsText" text="Min">
      <formula>NOT(ISERROR(SEARCH("Min",N68)))</formula>
    </cfRule>
    <cfRule type="containsText" dxfId="75" priority="78" operator="containsText" text="Specify ">
      <formula>NOT(ISERROR(SEARCH("Specify ",N68)))</formula>
    </cfRule>
  </conditionalFormatting>
  <conditionalFormatting sqref="G72:O72">
    <cfRule type="containsText" dxfId="74" priority="73" operator="containsText" text="Max">
      <formula>NOT(ISERROR(SEARCH("Max",G72)))</formula>
    </cfRule>
    <cfRule type="containsText" dxfId="73" priority="74" operator="containsText" text="Min">
      <formula>NOT(ISERROR(SEARCH("Min",G72)))</formula>
    </cfRule>
    <cfRule type="containsText" dxfId="72" priority="75" operator="containsText" text="Specify ">
      <formula>NOT(ISERROR(SEARCH("Specify ",G72)))</formula>
    </cfRule>
  </conditionalFormatting>
  <conditionalFormatting sqref="G73 I73 G74:O74 G76:O76">
    <cfRule type="containsText" dxfId="71" priority="70" operator="containsText" text="Max">
      <formula>NOT(ISERROR(SEARCH("Max",G73)))</formula>
    </cfRule>
    <cfRule type="containsText" dxfId="70" priority="71" operator="containsText" text="Min">
      <formula>NOT(ISERROR(SEARCH("Min",G73)))</formula>
    </cfRule>
    <cfRule type="containsText" dxfId="69" priority="72" operator="containsText" text="Specify ">
      <formula>NOT(ISERROR(SEARCH("Specify ",G73)))</formula>
    </cfRule>
  </conditionalFormatting>
  <conditionalFormatting sqref="H73">
    <cfRule type="containsText" dxfId="68" priority="67" operator="containsText" text="Max">
      <formula>NOT(ISERROR(SEARCH("Max",H73)))</formula>
    </cfRule>
    <cfRule type="containsText" dxfId="67" priority="68" operator="containsText" text="Min">
      <formula>NOT(ISERROR(SEARCH("Min",H73)))</formula>
    </cfRule>
    <cfRule type="containsText" dxfId="66" priority="69" operator="containsText" text="Specify ">
      <formula>NOT(ISERROR(SEARCH("Specify ",H73)))</formula>
    </cfRule>
  </conditionalFormatting>
  <conditionalFormatting sqref="J73 L73">
    <cfRule type="containsText" dxfId="65" priority="64" operator="containsText" text="Max">
      <formula>NOT(ISERROR(SEARCH("Max",J73)))</formula>
    </cfRule>
    <cfRule type="containsText" dxfId="64" priority="65" operator="containsText" text="Min">
      <formula>NOT(ISERROR(SEARCH("Min",J73)))</formula>
    </cfRule>
    <cfRule type="containsText" dxfId="63" priority="66" operator="containsText" text="Specify ">
      <formula>NOT(ISERROR(SEARCH("Specify ",J73)))</formula>
    </cfRule>
  </conditionalFormatting>
  <conditionalFormatting sqref="K73">
    <cfRule type="containsText" dxfId="62" priority="61" operator="containsText" text="Max">
      <formula>NOT(ISERROR(SEARCH("Max",K73)))</formula>
    </cfRule>
    <cfRule type="containsText" dxfId="61" priority="62" operator="containsText" text="Min">
      <formula>NOT(ISERROR(SEARCH("Min",K73)))</formula>
    </cfRule>
    <cfRule type="containsText" dxfId="60" priority="63" operator="containsText" text="Specify ">
      <formula>NOT(ISERROR(SEARCH("Specify ",K73)))</formula>
    </cfRule>
  </conditionalFormatting>
  <conditionalFormatting sqref="M73 O73">
    <cfRule type="containsText" dxfId="59" priority="58" operator="containsText" text="Max">
      <formula>NOT(ISERROR(SEARCH("Max",M73)))</formula>
    </cfRule>
    <cfRule type="containsText" dxfId="58" priority="59" operator="containsText" text="Min">
      <formula>NOT(ISERROR(SEARCH("Min",M73)))</formula>
    </cfRule>
    <cfRule type="containsText" dxfId="57" priority="60" operator="containsText" text="Specify ">
      <formula>NOT(ISERROR(SEARCH("Specify ",M73)))</formula>
    </cfRule>
  </conditionalFormatting>
  <conditionalFormatting sqref="N73">
    <cfRule type="containsText" dxfId="56" priority="55" operator="containsText" text="Max">
      <formula>NOT(ISERROR(SEARCH("Max",N73)))</formula>
    </cfRule>
    <cfRule type="containsText" dxfId="55" priority="56" operator="containsText" text="Min">
      <formula>NOT(ISERROR(SEARCH("Min",N73)))</formula>
    </cfRule>
    <cfRule type="containsText" dxfId="54" priority="57" operator="containsText" text="Specify ">
      <formula>NOT(ISERROR(SEARCH("Specify ",N73)))</formula>
    </cfRule>
  </conditionalFormatting>
  <conditionalFormatting sqref="G75 I75">
    <cfRule type="containsText" dxfId="53" priority="52" operator="containsText" text="Max">
      <formula>NOT(ISERROR(SEARCH("Max",G75)))</formula>
    </cfRule>
    <cfRule type="containsText" dxfId="52" priority="53" operator="containsText" text="Min">
      <formula>NOT(ISERROR(SEARCH("Min",G75)))</formula>
    </cfRule>
    <cfRule type="containsText" dxfId="51" priority="54" operator="containsText" text="Specify ">
      <formula>NOT(ISERROR(SEARCH("Specify ",G75)))</formula>
    </cfRule>
  </conditionalFormatting>
  <conditionalFormatting sqref="H75">
    <cfRule type="containsText" dxfId="50" priority="49" operator="containsText" text="Max">
      <formula>NOT(ISERROR(SEARCH("Max",H75)))</formula>
    </cfRule>
    <cfRule type="containsText" dxfId="49" priority="50" operator="containsText" text="Min">
      <formula>NOT(ISERROR(SEARCH("Min",H75)))</formula>
    </cfRule>
    <cfRule type="containsText" dxfId="48" priority="51" operator="containsText" text="Specify ">
      <formula>NOT(ISERROR(SEARCH("Specify ",H75)))</formula>
    </cfRule>
  </conditionalFormatting>
  <conditionalFormatting sqref="J75 L75">
    <cfRule type="containsText" dxfId="47" priority="46" operator="containsText" text="Max">
      <formula>NOT(ISERROR(SEARCH("Max",J75)))</formula>
    </cfRule>
    <cfRule type="containsText" dxfId="46" priority="47" operator="containsText" text="Min">
      <formula>NOT(ISERROR(SEARCH("Min",J75)))</formula>
    </cfRule>
    <cfRule type="containsText" dxfId="45" priority="48" operator="containsText" text="Specify ">
      <formula>NOT(ISERROR(SEARCH("Specify ",J75)))</formula>
    </cfRule>
  </conditionalFormatting>
  <conditionalFormatting sqref="K75">
    <cfRule type="containsText" dxfId="44" priority="43" operator="containsText" text="Max">
      <formula>NOT(ISERROR(SEARCH("Max",K75)))</formula>
    </cfRule>
    <cfRule type="containsText" dxfId="43" priority="44" operator="containsText" text="Min">
      <formula>NOT(ISERROR(SEARCH("Min",K75)))</formula>
    </cfRule>
    <cfRule type="containsText" dxfId="42" priority="45" operator="containsText" text="Specify ">
      <formula>NOT(ISERROR(SEARCH("Specify ",K75)))</formula>
    </cfRule>
  </conditionalFormatting>
  <conditionalFormatting sqref="M75 O75">
    <cfRule type="containsText" dxfId="41" priority="40" operator="containsText" text="Max">
      <formula>NOT(ISERROR(SEARCH("Max",M75)))</formula>
    </cfRule>
    <cfRule type="containsText" dxfId="40" priority="41" operator="containsText" text="Min">
      <formula>NOT(ISERROR(SEARCH("Min",M75)))</formula>
    </cfRule>
    <cfRule type="containsText" dxfId="39" priority="42" operator="containsText" text="Specify ">
      <formula>NOT(ISERROR(SEARCH("Specify ",M75)))</formula>
    </cfRule>
  </conditionalFormatting>
  <conditionalFormatting sqref="N75">
    <cfRule type="containsText" dxfId="38" priority="37" operator="containsText" text="Max">
      <formula>NOT(ISERROR(SEARCH("Max",N75)))</formula>
    </cfRule>
    <cfRule type="containsText" dxfId="37" priority="38" operator="containsText" text="Min">
      <formula>NOT(ISERROR(SEARCH("Min",N75)))</formula>
    </cfRule>
    <cfRule type="containsText" dxfId="36" priority="39" operator="containsText" text="Specify ">
      <formula>NOT(ISERROR(SEARCH("Specify ",N75)))</formula>
    </cfRule>
  </conditionalFormatting>
  <conditionalFormatting sqref="G77 I77 G78:O78">
    <cfRule type="containsText" dxfId="35" priority="34" operator="containsText" text="Max">
      <formula>NOT(ISERROR(SEARCH("Max",G77)))</formula>
    </cfRule>
    <cfRule type="containsText" dxfId="34" priority="35" operator="containsText" text="Min">
      <formula>NOT(ISERROR(SEARCH("Min",G77)))</formula>
    </cfRule>
    <cfRule type="containsText" dxfId="33" priority="36" operator="containsText" text="Specify ">
      <formula>NOT(ISERROR(SEARCH("Specify ",G77)))</formula>
    </cfRule>
  </conditionalFormatting>
  <conditionalFormatting sqref="H77">
    <cfRule type="containsText" dxfId="32" priority="31" operator="containsText" text="Max">
      <formula>NOT(ISERROR(SEARCH("Max",H77)))</formula>
    </cfRule>
    <cfRule type="containsText" dxfId="31" priority="32" operator="containsText" text="Min">
      <formula>NOT(ISERROR(SEARCH("Min",H77)))</formula>
    </cfRule>
    <cfRule type="containsText" dxfId="30" priority="33" operator="containsText" text="Specify ">
      <formula>NOT(ISERROR(SEARCH("Specify ",H77)))</formula>
    </cfRule>
  </conditionalFormatting>
  <conditionalFormatting sqref="J77 L77">
    <cfRule type="containsText" dxfId="29" priority="28" operator="containsText" text="Max">
      <formula>NOT(ISERROR(SEARCH("Max",J77)))</formula>
    </cfRule>
    <cfRule type="containsText" dxfId="28" priority="29" operator="containsText" text="Min">
      <formula>NOT(ISERROR(SEARCH("Min",J77)))</formula>
    </cfRule>
    <cfRule type="containsText" dxfId="27" priority="30" operator="containsText" text="Specify ">
      <formula>NOT(ISERROR(SEARCH("Specify ",J77)))</formula>
    </cfRule>
  </conditionalFormatting>
  <conditionalFormatting sqref="K77">
    <cfRule type="containsText" dxfId="26" priority="25" operator="containsText" text="Max">
      <formula>NOT(ISERROR(SEARCH("Max",K77)))</formula>
    </cfRule>
    <cfRule type="containsText" dxfId="25" priority="26" operator="containsText" text="Min">
      <formula>NOT(ISERROR(SEARCH("Min",K77)))</formula>
    </cfRule>
    <cfRule type="containsText" dxfId="24" priority="27" operator="containsText" text="Specify ">
      <formula>NOT(ISERROR(SEARCH("Specify ",K77)))</formula>
    </cfRule>
  </conditionalFormatting>
  <conditionalFormatting sqref="M77 O77">
    <cfRule type="containsText" dxfId="23" priority="22" operator="containsText" text="Max">
      <formula>NOT(ISERROR(SEARCH("Max",M77)))</formula>
    </cfRule>
    <cfRule type="containsText" dxfId="22" priority="23" operator="containsText" text="Min">
      <formula>NOT(ISERROR(SEARCH("Min",M77)))</formula>
    </cfRule>
    <cfRule type="containsText" dxfId="21" priority="24" operator="containsText" text="Specify ">
      <formula>NOT(ISERROR(SEARCH("Specify ",M77)))</formula>
    </cfRule>
  </conditionalFormatting>
  <conditionalFormatting sqref="N77">
    <cfRule type="containsText" dxfId="20" priority="19" operator="containsText" text="Max">
      <formula>NOT(ISERROR(SEARCH("Max",N77)))</formula>
    </cfRule>
    <cfRule type="containsText" dxfId="19" priority="20" operator="containsText" text="Min">
      <formula>NOT(ISERROR(SEARCH("Min",N77)))</formula>
    </cfRule>
    <cfRule type="containsText" dxfId="18" priority="21" operator="containsText" text="Specify ">
      <formula>NOT(ISERROR(SEARCH("Specify ",N77)))</formula>
    </cfRule>
  </conditionalFormatting>
  <conditionalFormatting sqref="G79 I79">
    <cfRule type="containsText" dxfId="17" priority="16" operator="containsText" text="Max">
      <formula>NOT(ISERROR(SEARCH("Max",G79)))</formula>
    </cfRule>
    <cfRule type="containsText" dxfId="16" priority="17" operator="containsText" text="Min">
      <formula>NOT(ISERROR(SEARCH("Min",G79)))</formula>
    </cfRule>
    <cfRule type="containsText" dxfId="15" priority="18" operator="containsText" text="Specify ">
      <formula>NOT(ISERROR(SEARCH("Specify ",G79)))</formula>
    </cfRule>
  </conditionalFormatting>
  <conditionalFormatting sqref="H79">
    <cfRule type="containsText" dxfId="14" priority="13" operator="containsText" text="Max">
      <formula>NOT(ISERROR(SEARCH("Max",H79)))</formula>
    </cfRule>
    <cfRule type="containsText" dxfId="13" priority="14" operator="containsText" text="Min">
      <formula>NOT(ISERROR(SEARCH("Min",H79)))</formula>
    </cfRule>
    <cfRule type="containsText" dxfId="12" priority="15" operator="containsText" text="Specify ">
      <formula>NOT(ISERROR(SEARCH("Specify ",H79)))</formula>
    </cfRule>
  </conditionalFormatting>
  <conditionalFormatting sqref="J79 L79">
    <cfRule type="containsText" dxfId="11" priority="10" operator="containsText" text="Max">
      <formula>NOT(ISERROR(SEARCH("Max",J79)))</formula>
    </cfRule>
    <cfRule type="containsText" dxfId="10" priority="11" operator="containsText" text="Min">
      <formula>NOT(ISERROR(SEARCH("Min",J79)))</formula>
    </cfRule>
    <cfRule type="containsText" dxfId="9" priority="12" operator="containsText" text="Specify ">
      <formula>NOT(ISERROR(SEARCH("Specify ",J79)))</formula>
    </cfRule>
  </conditionalFormatting>
  <conditionalFormatting sqref="K79">
    <cfRule type="containsText" dxfId="8" priority="7" operator="containsText" text="Max">
      <formula>NOT(ISERROR(SEARCH("Max",K79)))</formula>
    </cfRule>
    <cfRule type="containsText" dxfId="7" priority="8" operator="containsText" text="Min">
      <formula>NOT(ISERROR(SEARCH("Min",K79)))</formula>
    </cfRule>
    <cfRule type="containsText" dxfId="6" priority="9" operator="containsText" text="Specify ">
      <formula>NOT(ISERROR(SEARCH("Specify ",K79)))</formula>
    </cfRule>
  </conditionalFormatting>
  <conditionalFormatting sqref="M79 O79">
    <cfRule type="containsText" dxfId="5" priority="4" operator="containsText" text="Max">
      <formula>NOT(ISERROR(SEARCH("Max",M79)))</formula>
    </cfRule>
    <cfRule type="containsText" dxfId="4" priority="5" operator="containsText" text="Min">
      <formula>NOT(ISERROR(SEARCH("Min",M79)))</formula>
    </cfRule>
    <cfRule type="containsText" dxfId="3" priority="6" operator="containsText" text="Specify ">
      <formula>NOT(ISERROR(SEARCH("Specify ",M79)))</formula>
    </cfRule>
  </conditionalFormatting>
  <conditionalFormatting sqref="N79">
    <cfRule type="containsText" dxfId="2" priority="1" operator="containsText" text="Max">
      <formula>NOT(ISERROR(SEARCH("Max",N79)))</formula>
    </cfRule>
    <cfRule type="containsText" dxfId="1" priority="2" operator="containsText" text="Min">
      <formula>NOT(ISERROR(SEARCH("Min",N79)))</formula>
    </cfRule>
    <cfRule type="containsText" dxfId="0" priority="3" operator="containsText" text="Specify ">
      <formula>NOT(ISERROR(SEARCH("Specify ",N79)))</formula>
    </cfRule>
  </conditionalFormatting>
  <pageMargins left="0.7" right="0.7" top="0.75" bottom="0.75" header="0.3" footer="0.3"/>
  <pageSetup paperSize="9" scale="4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6633B-CFC7-4AE6-B2FE-64D75C692C71}">
  <sheetPr>
    <pageSetUpPr fitToPage="1"/>
  </sheetPr>
  <dimension ref="A1:Z84"/>
  <sheetViews>
    <sheetView zoomScale="80" zoomScaleNormal="80" workbookViewId="0">
      <pane ySplit="1" topLeftCell="A4" activePane="bottomLeft" state="frozen"/>
      <selection activeCell="D28" sqref="D28:K28"/>
      <selection pane="bottomLeft" activeCell="D28" sqref="D28:K28"/>
    </sheetView>
  </sheetViews>
  <sheetFormatPr defaultColWidth="9" defaultRowHeight="15.75" x14ac:dyDescent="0.25"/>
  <cols>
    <col min="1" max="1" width="10.25" style="1" bestFit="1" customWidth="1"/>
    <col min="2" max="2" width="24" style="1" bestFit="1" customWidth="1"/>
    <col min="3" max="3" width="10.25" style="1" bestFit="1" customWidth="1"/>
    <col min="4" max="6" width="18.375" style="1" customWidth="1"/>
    <col min="7" max="7" width="10.25" style="1" bestFit="1" customWidth="1"/>
    <col min="8" max="8" width="13.875" style="1" bestFit="1" customWidth="1"/>
    <col min="9" max="9" width="10.25" style="1" bestFit="1" customWidth="1"/>
    <col min="10" max="11" width="10.25" style="1" customWidth="1"/>
    <col min="12" max="12" width="25.75" style="1" customWidth="1"/>
    <col min="13" max="13" width="10.25" style="1" bestFit="1" customWidth="1"/>
    <col min="14" max="14" width="19.375" style="1" bestFit="1" customWidth="1"/>
    <col min="15" max="15" width="10.25" style="1" bestFit="1" customWidth="1"/>
    <col min="16" max="16" width="14" style="1" customWidth="1"/>
    <col min="17" max="17" width="10.25" style="1" bestFit="1" customWidth="1"/>
    <col min="18" max="18" width="13.125" style="1" bestFit="1" customWidth="1"/>
    <col min="19" max="19" width="10.25" style="1" bestFit="1" customWidth="1"/>
    <col min="20" max="20" width="14.5" style="1" bestFit="1" customWidth="1"/>
    <col min="21" max="25" width="9" style="1"/>
    <col min="26" max="26" width="9" style="1" hidden="1" customWidth="1"/>
    <col min="27" max="16384" width="9" style="1"/>
  </cols>
  <sheetData>
    <row r="1" spans="1:26" x14ac:dyDescent="0.25">
      <c r="A1" s="16"/>
      <c r="B1" s="16" t="s">
        <v>156</v>
      </c>
      <c r="D1" s="16" t="s">
        <v>157</v>
      </c>
      <c r="E1" s="16"/>
      <c r="F1" s="16" t="s">
        <v>158</v>
      </c>
      <c r="G1" s="16"/>
      <c r="H1" s="16" t="s">
        <v>159</v>
      </c>
      <c r="J1" s="16" t="s">
        <v>160</v>
      </c>
      <c r="L1" s="16" t="s">
        <v>161</v>
      </c>
      <c r="M1" s="16"/>
      <c r="N1" s="16" t="s">
        <v>162</v>
      </c>
      <c r="O1" s="16"/>
      <c r="P1" s="16" t="s">
        <v>163</v>
      </c>
      <c r="Q1" s="16"/>
      <c r="R1" s="16" t="s">
        <v>164</v>
      </c>
      <c r="S1" s="16"/>
      <c r="T1" s="16" t="s">
        <v>165</v>
      </c>
    </row>
    <row r="2" spans="1:26" hidden="1" x14ac:dyDescent="0.25">
      <c r="A2" s="16"/>
      <c r="B2" s="16"/>
      <c r="D2" s="16"/>
      <c r="E2" s="16"/>
      <c r="F2" s="16"/>
      <c r="G2" s="16"/>
      <c r="H2" s="16"/>
      <c r="L2" s="17" t="s">
        <v>166</v>
      </c>
      <c r="M2" s="16"/>
      <c r="N2" s="16"/>
      <c r="O2" s="16"/>
      <c r="P2" s="16"/>
      <c r="Q2" s="16"/>
      <c r="R2" s="16"/>
      <c r="S2" s="16"/>
      <c r="T2" s="16"/>
      <c r="Z2" s="17" t="s">
        <v>167</v>
      </c>
    </row>
    <row r="3" spans="1:26" hidden="1" x14ac:dyDescent="0.25">
      <c r="A3" s="17"/>
      <c r="B3" s="17" t="s">
        <v>167</v>
      </c>
      <c r="D3" s="17" t="s">
        <v>167</v>
      </c>
      <c r="E3" s="17"/>
      <c r="F3" s="17" t="s">
        <v>167</v>
      </c>
      <c r="G3" s="17"/>
      <c r="H3" s="17" t="s">
        <v>167</v>
      </c>
      <c r="I3" s="17"/>
      <c r="J3" s="17" t="s">
        <v>168</v>
      </c>
      <c r="K3" s="17"/>
      <c r="L3" s="17" t="s">
        <v>167</v>
      </c>
      <c r="M3" s="17"/>
      <c r="N3" s="17" t="s">
        <v>167</v>
      </c>
      <c r="O3" s="6"/>
      <c r="P3" s="17" t="s">
        <v>167</v>
      </c>
      <c r="Q3" s="17"/>
      <c r="R3" s="17" t="s">
        <v>167</v>
      </c>
      <c r="S3" s="17"/>
      <c r="T3" s="17" t="s">
        <v>167</v>
      </c>
      <c r="Z3" s="1" t="s">
        <v>169</v>
      </c>
    </row>
    <row r="4" spans="1:26" x14ac:dyDescent="0.25">
      <c r="B4" s="1" t="s">
        <v>170</v>
      </c>
      <c r="D4" s="1" t="s">
        <v>171</v>
      </c>
      <c r="F4" s="1" t="s">
        <v>120</v>
      </c>
      <c r="H4" s="1" t="s">
        <v>172</v>
      </c>
      <c r="J4" s="1" t="s">
        <v>173</v>
      </c>
      <c r="L4" s="1" t="s">
        <v>174</v>
      </c>
      <c r="N4" s="39" t="s">
        <v>134</v>
      </c>
      <c r="O4" s="6"/>
      <c r="P4" s="36"/>
      <c r="R4" s="1" t="s">
        <v>175</v>
      </c>
      <c r="T4" s="1" t="s">
        <v>122</v>
      </c>
      <c r="Z4" s="1" t="s">
        <v>176</v>
      </c>
    </row>
    <row r="5" spans="1:26" x14ac:dyDescent="0.25">
      <c r="B5" s="1" t="s">
        <v>177</v>
      </c>
      <c r="D5" s="1" t="s">
        <v>178</v>
      </c>
      <c r="F5" s="1" t="s">
        <v>179</v>
      </c>
      <c r="H5" s="1" t="s">
        <v>180</v>
      </c>
      <c r="J5" s="1" t="s">
        <v>134</v>
      </c>
      <c r="L5" s="1" t="s">
        <v>181</v>
      </c>
      <c r="M5" s="6" t="s">
        <v>182</v>
      </c>
      <c r="N5" s="36"/>
      <c r="O5" s="6" t="s">
        <v>182</v>
      </c>
      <c r="R5" s="1" t="s">
        <v>183</v>
      </c>
      <c r="T5" s="1" t="s">
        <v>124</v>
      </c>
    </row>
    <row r="6" spans="1:26" x14ac:dyDescent="0.25">
      <c r="B6" s="1" t="s">
        <v>184</v>
      </c>
      <c r="D6" s="1" t="s">
        <v>185</v>
      </c>
      <c r="F6" s="1" t="s">
        <v>122</v>
      </c>
      <c r="H6" s="1" t="s">
        <v>186</v>
      </c>
      <c r="J6" s="1" t="s">
        <v>187</v>
      </c>
      <c r="L6" s="1" t="s">
        <v>188</v>
      </c>
      <c r="M6" s="6" t="s">
        <v>182</v>
      </c>
      <c r="N6" s="36"/>
      <c r="O6" s="6" t="s">
        <v>182</v>
      </c>
      <c r="R6" s="1" t="s">
        <v>189</v>
      </c>
      <c r="T6" s="1" t="s">
        <v>190</v>
      </c>
      <c r="Z6" s="1" t="s">
        <v>167</v>
      </c>
    </row>
    <row r="7" spans="1:26" x14ac:dyDescent="0.25">
      <c r="B7" s="1" t="s">
        <v>191</v>
      </c>
      <c r="D7" s="1" t="s">
        <v>192</v>
      </c>
      <c r="F7" s="1" t="s">
        <v>124</v>
      </c>
      <c r="H7" s="1" t="s">
        <v>193</v>
      </c>
      <c r="L7" s="1" t="s">
        <v>194</v>
      </c>
      <c r="M7" s="6" t="s">
        <v>182</v>
      </c>
      <c r="N7" s="36"/>
      <c r="O7" s="6" t="s">
        <v>182</v>
      </c>
      <c r="R7" s="1" t="s">
        <v>195</v>
      </c>
      <c r="S7" s="6" t="s">
        <v>182</v>
      </c>
      <c r="Z7" s="1" t="s">
        <v>196</v>
      </c>
    </row>
    <row r="8" spans="1:26" x14ac:dyDescent="0.25">
      <c r="B8" s="1" t="s">
        <v>197</v>
      </c>
      <c r="D8" s="1" t="s">
        <v>198</v>
      </c>
      <c r="F8" s="1" t="s">
        <v>126</v>
      </c>
      <c r="H8" s="1" t="s">
        <v>199</v>
      </c>
      <c r="L8" s="1" t="s">
        <v>200</v>
      </c>
      <c r="M8" s="6" t="s">
        <v>182</v>
      </c>
      <c r="O8" s="6" t="s">
        <v>182</v>
      </c>
      <c r="R8" s="1" t="s">
        <v>460</v>
      </c>
      <c r="S8" s="6" t="s">
        <v>182</v>
      </c>
      <c r="Z8" s="1" t="s">
        <v>201</v>
      </c>
    </row>
    <row r="9" spans="1:26" x14ac:dyDescent="0.25">
      <c r="B9" s="1" t="s">
        <v>202</v>
      </c>
      <c r="C9" s="6"/>
      <c r="D9" s="1" t="s">
        <v>203</v>
      </c>
      <c r="F9" s="1" t="s">
        <v>128</v>
      </c>
      <c r="H9" s="1" t="s">
        <v>204</v>
      </c>
      <c r="L9" s="1" t="s">
        <v>205</v>
      </c>
      <c r="M9" s="6" t="s">
        <v>182</v>
      </c>
      <c r="O9" s="6" t="s">
        <v>182</v>
      </c>
      <c r="R9" s="1" t="s">
        <v>206</v>
      </c>
      <c r="S9" s="6" t="s">
        <v>182</v>
      </c>
    </row>
    <row r="10" spans="1:26" x14ac:dyDescent="0.25">
      <c r="B10" s="1" t="s">
        <v>207</v>
      </c>
      <c r="C10" s="6"/>
      <c r="D10" s="1" t="s">
        <v>208</v>
      </c>
      <c r="F10" s="1" t="s">
        <v>130</v>
      </c>
      <c r="H10" s="1" t="s">
        <v>209</v>
      </c>
      <c r="L10" s="1" t="s">
        <v>210</v>
      </c>
      <c r="O10" s="6" t="s">
        <v>182</v>
      </c>
      <c r="R10" s="1" t="s">
        <v>211</v>
      </c>
      <c r="S10" s="6" t="s">
        <v>182</v>
      </c>
      <c r="Z10" s="17" t="s">
        <v>212</v>
      </c>
    </row>
    <row r="11" spans="1:26" x14ac:dyDescent="0.25">
      <c r="B11" s="1" t="s">
        <v>213</v>
      </c>
      <c r="C11" s="6"/>
      <c r="D11" s="1" t="s">
        <v>214</v>
      </c>
      <c r="F11" s="1" t="s">
        <v>132</v>
      </c>
      <c r="G11" s="6" t="s">
        <v>182</v>
      </c>
      <c r="L11" s="1" t="s">
        <v>215</v>
      </c>
      <c r="O11" s="6" t="s">
        <v>182</v>
      </c>
      <c r="R11" s="1" t="s">
        <v>216</v>
      </c>
      <c r="S11" s="6" t="s">
        <v>182</v>
      </c>
      <c r="Z11" s="1" t="s">
        <v>217</v>
      </c>
    </row>
    <row r="12" spans="1:26" x14ac:dyDescent="0.25">
      <c r="B12" s="1" t="s">
        <v>218</v>
      </c>
      <c r="C12" s="6"/>
      <c r="D12" s="1" t="s">
        <v>219</v>
      </c>
      <c r="F12" s="1" t="s">
        <v>134</v>
      </c>
      <c r="G12" s="6" t="s">
        <v>182</v>
      </c>
      <c r="L12" s="1" t="s">
        <v>220</v>
      </c>
      <c r="O12" s="6" t="s">
        <v>182</v>
      </c>
      <c r="R12" s="1" t="s">
        <v>221</v>
      </c>
      <c r="Z12" s="1" t="s">
        <v>222</v>
      </c>
    </row>
    <row r="13" spans="1:26" x14ac:dyDescent="0.25">
      <c r="B13" s="1" t="s">
        <v>223</v>
      </c>
      <c r="C13" s="6" t="s">
        <v>182</v>
      </c>
      <c r="D13" s="1" t="s">
        <v>224</v>
      </c>
      <c r="E13" s="6"/>
      <c r="F13" s="1" t="s">
        <v>179</v>
      </c>
      <c r="G13" s="6" t="s">
        <v>182</v>
      </c>
      <c r="L13" s="1" t="s">
        <v>225</v>
      </c>
      <c r="O13" s="6" t="s">
        <v>182</v>
      </c>
      <c r="R13" s="1" t="s">
        <v>226</v>
      </c>
      <c r="Z13" s="1" t="s">
        <v>227</v>
      </c>
    </row>
    <row r="14" spans="1:26" x14ac:dyDescent="0.25">
      <c r="B14" s="1" t="s">
        <v>228</v>
      </c>
      <c r="C14" s="6" t="s">
        <v>182</v>
      </c>
      <c r="E14" s="6" t="s">
        <v>182</v>
      </c>
      <c r="G14" s="6" t="s">
        <v>182</v>
      </c>
      <c r="L14" s="39" t="s">
        <v>229</v>
      </c>
      <c r="Q14" s="6" t="s">
        <v>182</v>
      </c>
    </row>
    <row r="15" spans="1:26" x14ac:dyDescent="0.25">
      <c r="B15" s="1" t="s">
        <v>230</v>
      </c>
      <c r="C15" s="6" t="s">
        <v>182</v>
      </c>
      <c r="E15" s="6" t="s">
        <v>182</v>
      </c>
      <c r="G15" s="6" t="s">
        <v>182</v>
      </c>
      <c r="L15" s="39" t="s">
        <v>231</v>
      </c>
      <c r="Q15" s="6" t="s">
        <v>182</v>
      </c>
      <c r="Z15" s="1" t="s">
        <v>232</v>
      </c>
    </row>
    <row r="16" spans="1:26" x14ac:dyDescent="0.25">
      <c r="B16" s="1" t="s">
        <v>233</v>
      </c>
      <c r="C16" s="6" t="s">
        <v>182</v>
      </c>
      <c r="E16" s="6" t="s">
        <v>182</v>
      </c>
      <c r="L16" s="39" t="s">
        <v>234</v>
      </c>
      <c r="Q16" s="6" t="s">
        <v>182</v>
      </c>
      <c r="Z16" s="1" t="s">
        <v>235</v>
      </c>
    </row>
    <row r="17" spans="1:17" x14ac:dyDescent="0.25">
      <c r="B17" s="1" t="s">
        <v>236</v>
      </c>
      <c r="C17" s="6" t="s">
        <v>182</v>
      </c>
      <c r="E17" s="6" t="s">
        <v>182</v>
      </c>
      <c r="L17" s="39" t="s">
        <v>237</v>
      </c>
      <c r="Q17" s="6" t="s">
        <v>182</v>
      </c>
    </row>
    <row r="18" spans="1:17" x14ac:dyDescent="0.25">
      <c r="B18" s="1" t="s">
        <v>238</v>
      </c>
      <c r="E18" s="6" t="s">
        <v>182</v>
      </c>
      <c r="L18" s="1" t="s">
        <v>239</v>
      </c>
      <c r="Q18" s="6" t="s">
        <v>182</v>
      </c>
    </row>
    <row r="19" spans="1:17" x14ac:dyDescent="0.25">
      <c r="B19" s="1" t="s">
        <v>240</v>
      </c>
      <c r="L19" s="1" t="s">
        <v>241</v>
      </c>
    </row>
    <row r="20" spans="1:17" x14ac:dyDescent="0.25">
      <c r="B20" s="1" t="s">
        <v>242</v>
      </c>
      <c r="L20" s="1" t="s">
        <v>243</v>
      </c>
    </row>
    <row r="21" spans="1:17" x14ac:dyDescent="0.25">
      <c r="B21" s="1" t="s">
        <v>244</v>
      </c>
      <c r="L21" s="1" t="s">
        <v>245</v>
      </c>
    </row>
    <row r="22" spans="1:17" x14ac:dyDescent="0.25">
      <c r="A22" s="6"/>
      <c r="B22" s="39" t="s">
        <v>178</v>
      </c>
      <c r="L22" s="1" t="s">
        <v>246</v>
      </c>
    </row>
    <row r="23" spans="1:17" x14ac:dyDescent="0.25">
      <c r="A23" s="6" t="s">
        <v>182</v>
      </c>
      <c r="L23" s="1" t="s">
        <v>247</v>
      </c>
    </row>
    <row r="24" spans="1:17" x14ac:dyDescent="0.25">
      <c r="A24" s="6" t="s">
        <v>182</v>
      </c>
      <c r="L24" s="1" t="s">
        <v>248</v>
      </c>
    </row>
    <row r="25" spans="1:17" x14ac:dyDescent="0.25">
      <c r="A25" s="6" t="s">
        <v>182</v>
      </c>
      <c r="L25" s="1" t="s">
        <v>249</v>
      </c>
    </row>
    <row r="26" spans="1:17" x14ac:dyDescent="0.25">
      <c r="A26" s="6" t="s">
        <v>182</v>
      </c>
      <c r="L26" s="1" t="s">
        <v>250</v>
      </c>
    </row>
    <row r="27" spans="1:17" x14ac:dyDescent="0.25">
      <c r="A27" s="6" t="s">
        <v>182</v>
      </c>
      <c r="L27" s="1" t="s">
        <v>251</v>
      </c>
    </row>
    <row r="28" spans="1:17" x14ac:dyDescent="0.25">
      <c r="L28" s="1" t="s">
        <v>252</v>
      </c>
    </row>
    <row r="29" spans="1:17" x14ac:dyDescent="0.25">
      <c r="L29" s="1" t="s">
        <v>253</v>
      </c>
    </row>
    <row r="30" spans="1:17" x14ac:dyDescent="0.25">
      <c r="L30" s="1" t="s">
        <v>254</v>
      </c>
    </row>
    <row r="31" spans="1:17" x14ac:dyDescent="0.25">
      <c r="L31" s="1" t="s">
        <v>255</v>
      </c>
    </row>
    <row r="32" spans="1:17" x14ac:dyDescent="0.25">
      <c r="L32" s="1" t="s">
        <v>256</v>
      </c>
    </row>
    <row r="33" spans="12:13" x14ac:dyDescent="0.25">
      <c r="L33" s="1" t="s">
        <v>257</v>
      </c>
    </row>
    <row r="34" spans="12:13" x14ac:dyDescent="0.25">
      <c r="L34" s="1" t="s">
        <v>258</v>
      </c>
    </row>
    <row r="35" spans="12:13" x14ac:dyDescent="0.25">
      <c r="L35" s="1" t="s">
        <v>259</v>
      </c>
    </row>
    <row r="36" spans="12:13" x14ac:dyDescent="0.25">
      <c r="L36" s="1" t="s">
        <v>260</v>
      </c>
    </row>
    <row r="37" spans="12:13" x14ac:dyDescent="0.25">
      <c r="L37" s="1" t="s">
        <v>261</v>
      </c>
    </row>
    <row r="38" spans="12:13" x14ac:dyDescent="0.25">
      <c r="L38" s="1" t="s">
        <v>202</v>
      </c>
    </row>
    <row r="39" spans="12:13" x14ac:dyDescent="0.25">
      <c r="L39" s="1" t="s">
        <v>262</v>
      </c>
    </row>
    <row r="40" spans="12:13" x14ac:dyDescent="0.25">
      <c r="L40" s="1" t="s">
        <v>263</v>
      </c>
    </row>
    <row r="41" spans="12:13" x14ac:dyDescent="0.25">
      <c r="L41" s="1" t="s">
        <v>264</v>
      </c>
    </row>
    <row r="42" spans="12:13" x14ac:dyDescent="0.25">
      <c r="L42" s="1" t="s">
        <v>265</v>
      </c>
    </row>
    <row r="43" spans="12:13" x14ac:dyDescent="0.25">
      <c r="L43" s="1" t="s">
        <v>266</v>
      </c>
    </row>
    <row r="44" spans="12:13" x14ac:dyDescent="0.25">
      <c r="L44" s="1" t="s">
        <v>267</v>
      </c>
    </row>
    <row r="45" spans="12:13" x14ac:dyDescent="0.25">
      <c r="L45" s="1" t="s">
        <v>268</v>
      </c>
      <c r="M45" s="36"/>
    </row>
    <row r="46" spans="12:13" x14ac:dyDescent="0.25">
      <c r="L46" s="1" t="s">
        <v>269</v>
      </c>
      <c r="M46" s="36"/>
    </row>
    <row r="47" spans="12:13" x14ac:dyDescent="0.25">
      <c r="L47" s="39" t="s">
        <v>270</v>
      </c>
      <c r="M47" s="36"/>
    </row>
    <row r="48" spans="12:13" x14ac:dyDescent="0.25">
      <c r="L48" s="39" t="s">
        <v>271</v>
      </c>
      <c r="M48" s="36"/>
    </row>
    <row r="49" spans="9:12" x14ac:dyDescent="0.25">
      <c r="L49" s="39" t="s">
        <v>272</v>
      </c>
    </row>
    <row r="50" spans="9:12" x14ac:dyDescent="0.25">
      <c r="L50" s="39" t="s">
        <v>273</v>
      </c>
    </row>
    <row r="51" spans="9:12" x14ac:dyDescent="0.25">
      <c r="L51" s="1" t="s">
        <v>274</v>
      </c>
    </row>
    <row r="52" spans="9:12" x14ac:dyDescent="0.25">
      <c r="L52" s="1" t="s">
        <v>275</v>
      </c>
    </row>
    <row r="53" spans="9:12" x14ac:dyDescent="0.25">
      <c r="L53" s="1" t="s">
        <v>276</v>
      </c>
    </row>
    <row r="54" spans="9:12" x14ac:dyDescent="0.25">
      <c r="L54" s="1" t="s">
        <v>277</v>
      </c>
    </row>
    <row r="55" spans="9:12" x14ac:dyDescent="0.25">
      <c r="J55" s="6"/>
      <c r="K55" s="6"/>
      <c r="L55" s="39" t="s">
        <v>278</v>
      </c>
    </row>
    <row r="56" spans="9:12" x14ac:dyDescent="0.25">
      <c r="J56" s="6"/>
      <c r="K56" s="6"/>
      <c r="L56" s="39" t="s">
        <v>279</v>
      </c>
    </row>
    <row r="57" spans="9:12" x14ac:dyDescent="0.25">
      <c r="J57" s="6"/>
      <c r="K57" s="6"/>
      <c r="L57" s="39" t="s">
        <v>280</v>
      </c>
    </row>
    <row r="58" spans="9:12" x14ac:dyDescent="0.25">
      <c r="J58" s="6"/>
      <c r="K58" s="6"/>
      <c r="L58" s="39" t="s">
        <v>281</v>
      </c>
    </row>
    <row r="59" spans="9:12" x14ac:dyDescent="0.25">
      <c r="J59" s="6"/>
      <c r="K59" s="6"/>
      <c r="L59" s="39" t="s">
        <v>282</v>
      </c>
    </row>
    <row r="60" spans="9:12" x14ac:dyDescent="0.25">
      <c r="I60" s="6"/>
      <c r="J60" s="6"/>
      <c r="K60" s="6"/>
      <c r="L60" s="39" t="s">
        <v>283</v>
      </c>
    </row>
    <row r="61" spans="9:12" x14ac:dyDescent="0.25">
      <c r="I61" s="6"/>
      <c r="J61" s="6"/>
      <c r="K61" s="6"/>
      <c r="L61" s="39" t="s">
        <v>284</v>
      </c>
    </row>
    <row r="62" spans="9:12" x14ac:dyDescent="0.25">
      <c r="I62" s="6"/>
      <c r="J62" s="6"/>
      <c r="K62" s="6"/>
      <c r="L62" s="39" t="s">
        <v>285</v>
      </c>
    </row>
    <row r="63" spans="9:12" x14ac:dyDescent="0.25">
      <c r="I63" s="6"/>
      <c r="J63" s="6"/>
      <c r="K63" s="6"/>
      <c r="L63" s="39" t="s">
        <v>286</v>
      </c>
    </row>
    <row r="64" spans="9:12" x14ac:dyDescent="0.25">
      <c r="I64" s="6"/>
      <c r="J64" s="6"/>
      <c r="K64" s="6"/>
      <c r="L64" s="39" t="s">
        <v>287</v>
      </c>
    </row>
    <row r="65" spans="9:12" x14ac:dyDescent="0.25">
      <c r="I65" s="6"/>
      <c r="J65" s="6"/>
      <c r="K65" s="6"/>
      <c r="L65" s="39" t="s">
        <v>288</v>
      </c>
    </row>
    <row r="66" spans="9:12" x14ac:dyDescent="0.25">
      <c r="I66" s="6"/>
      <c r="J66" s="6"/>
      <c r="K66" s="6"/>
      <c r="L66" s="39" t="s">
        <v>289</v>
      </c>
    </row>
    <row r="67" spans="9:12" x14ac:dyDescent="0.25">
      <c r="I67" s="6"/>
      <c r="J67" s="6"/>
      <c r="K67" s="6"/>
      <c r="L67" s="39" t="s">
        <v>290</v>
      </c>
    </row>
    <row r="68" spans="9:12" x14ac:dyDescent="0.25">
      <c r="I68" s="6"/>
      <c r="J68" s="6"/>
      <c r="K68" s="6"/>
      <c r="L68" s="39" t="s">
        <v>291</v>
      </c>
    </row>
    <row r="69" spans="9:12" x14ac:dyDescent="0.25">
      <c r="L69" s="39" t="s">
        <v>292</v>
      </c>
    </row>
    <row r="70" spans="9:12" x14ac:dyDescent="0.25">
      <c r="L70" s="39" t="s">
        <v>293</v>
      </c>
    </row>
    <row r="71" spans="9:12" x14ac:dyDescent="0.25">
      <c r="K71" s="6" t="s">
        <v>182</v>
      </c>
      <c r="L71" s="39"/>
    </row>
    <row r="72" spans="9:12" x14ac:dyDescent="0.25">
      <c r="K72" s="6" t="s">
        <v>182</v>
      </c>
      <c r="L72" s="39"/>
    </row>
    <row r="73" spans="9:12" x14ac:dyDescent="0.25">
      <c r="K73" s="6" t="s">
        <v>182</v>
      </c>
      <c r="L73" s="39"/>
    </row>
    <row r="74" spans="9:12" x14ac:dyDescent="0.25">
      <c r="K74" s="6" t="s">
        <v>182</v>
      </c>
      <c r="L74" s="39"/>
    </row>
    <row r="75" spans="9:12" x14ac:dyDescent="0.25">
      <c r="K75" s="6"/>
      <c r="L75" s="39"/>
    </row>
    <row r="84" spans="12:12" x14ac:dyDescent="0.25">
      <c r="L84" s="36"/>
    </row>
  </sheetData>
  <conditionalFormatting sqref="L10">
    <cfRule type="duplicateValues" dxfId="687" priority="15"/>
  </conditionalFormatting>
  <conditionalFormatting sqref="L55">
    <cfRule type="duplicateValues" dxfId="686" priority="13"/>
  </conditionalFormatting>
  <conditionalFormatting sqref="L55">
    <cfRule type="duplicateValues" dxfId="685" priority="14"/>
  </conditionalFormatting>
  <conditionalFormatting sqref="L56">
    <cfRule type="duplicateValues" dxfId="684" priority="11"/>
  </conditionalFormatting>
  <conditionalFormatting sqref="L56">
    <cfRule type="duplicateValues" dxfId="683" priority="12"/>
  </conditionalFormatting>
  <conditionalFormatting sqref="L57">
    <cfRule type="duplicateValues" dxfId="682" priority="9"/>
  </conditionalFormatting>
  <conditionalFormatting sqref="L57">
    <cfRule type="duplicateValues" dxfId="681" priority="10"/>
  </conditionalFormatting>
  <conditionalFormatting sqref="L62:L63">
    <cfRule type="duplicateValues" dxfId="680" priority="7"/>
  </conditionalFormatting>
  <conditionalFormatting sqref="L62:L63">
    <cfRule type="duplicateValues" dxfId="679" priority="8"/>
  </conditionalFormatting>
  <conditionalFormatting sqref="L64">
    <cfRule type="duplicateValues" dxfId="678" priority="5"/>
  </conditionalFormatting>
  <conditionalFormatting sqref="L64">
    <cfRule type="duplicateValues" dxfId="677" priority="6"/>
  </conditionalFormatting>
  <conditionalFormatting sqref="L66">
    <cfRule type="duplicateValues" dxfId="676" priority="3"/>
  </conditionalFormatting>
  <conditionalFormatting sqref="L66">
    <cfRule type="duplicateValues" dxfId="675" priority="4"/>
  </conditionalFormatting>
  <conditionalFormatting sqref="L67">
    <cfRule type="duplicateValues" dxfId="674" priority="1"/>
  </conditionalFormatting>
  <conditionalFormatting sqref="L67">
    <cfRule type="duplicateValues" dxfId="673" priority="2"/>
  </conditionalFormatting>
  <conditionalFormatting sqref="L94:L1048576 L1:L3 L72:L92 L68:L70">
    <cfRule type="duplicateValues" dxfId="672" priority="16"/>
  </conditionalFormatting>
  <conditionalFormatting sqref="L4:L54 L72:L74 L68:L70">
    <cfRule type="duplicateValues" dxfId="671" priority="17"/>
  </conditionalFormatting>
  <conditionalFormatting sqref="L65">
    <cfRule type="duplicateValues" dxfId="670" priority="18"/>
  </conditionalFormatting>
  <pageMargins left="0.7" right="0.7" top="0.75" bottom="0.75" header="0.3" footer="0.3"/>
  <pageSetup paperSize="9" scale="3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EE1BD-0202-42D8-86D2-86D03AAF1A01}">
  <sheetPr>
    <pageSetUpPr fitToPage="1"/>
  </sheetPr>
  <dimension ref="A1:Z84"/>
  <sheetViews>
    <sheetView zoomScale="80" zoomScaleNormal="80" workbookViewId="0">
      <pane ySplit="1" topLeftCell="A4" activePane="bottomLeft" state="frozen"/>
      <selection activeCell="D28" sqref="D28:K28"/>
      <selection pane="bottomLeft" activeCell="D28" sqref="D28:K28"/>
    </sheetView>
  </sheetViews>
  <sheetFormatPr defaultColWidth="9" defaultRowHeight="15.75" x14ac:dyDescent="0.25"/>
  <cols>
    <col min="1" max="1" width="10.25" style="1" bestFit="1" customWidth="1"/>
    <col min="2" max="2" width="24" style="1" bestFit="1" customWidth="1"/>
    <col min="3" max="3" width="10.25" style="1" bestFit="1" customWidth="1"/>
    <col min="4" max="6" width="18.375" style="1" customWidth="1"/>
    <col min="7" max="7" width="10.25" style="1" bestFit="1" customWidth="1"/>
    <col min="8" max="8" width="13.875" style="1" bestFit="1" customWidth="1"/>
    <col min="9" max="9" width="10.25" style="1" bestFit="1" customWidth="1"/>
    <col min="10" max="11" width="10.25" style="1" customWidth="1"/>
    <col min="12" max="12" width="25.75" style="1" customWidth="1"/>
    <col min="13" max="13" width="10.25" style="1" bestFit="1" customWidth="1"/>
    <col min="14" max="14" width="19.375" style="1" bestFit="1" customWidth="1"/>
    <col min="15" max="15" width="10.25" style="1" bestFit="1" customWidth="1"/>
    <col min="16" max="16" width="14" style="1" customWidth="1"/>
    <col min="17" max="17" width="10.25" style="1" bestFit="1" customWidth="1"/>
    <col min="18" max="18" width="13.125" style="1" bestFit="1" customWidth="1"/>
    <col min="19" max="19" width="10.25" style="1" bestFit="1" customWidth="1"/>
    <col min="20" max="20" width="14.5" style="1" bestFit="1" customWidth="1"/>
    <col min="21" max="25" width="9" style="1"/>
    <col min="26" max="26" width="9" style="1" hidden="1" customWidth="1"/>
    <col min="27" max="16384" width="9" style="1"/>
  </cols>
  <sheetData>
    <row r="1" spans="1:26" x14ac:dyDescent="0.25">
      <c r="A1" s="16"/>
      <c r="B1" s="16" t="s">
        <v>156</v>
      </c>
      <c r="D1" s="16" t="s">
        <v>157</v>
      </c>
      <c r="E1" s="16"/>
      <c r="F1" s="16" t="s">
        <v>158</v>
      </c>
      <c r="G1" s="16"/>
      <c r="H1" s="16" t="s">
        <v>159</v>
      </c>
      <c r="J1" s="16" t="s">
        <v>160</v>
      </c>
      <c r="L1" s="16" t="s">
        <v>161</v>
      </c>
      <c r="M1" s="16"/>
      <c r="N1" s="16" t="s">
        <v>162</v>
      </c>
      <c r="O1" s="16"/>
      <c r="P1" s="16" t="s">
        <v>163</v>
      </c>
      <c r="Q1" s="16"/>
      <c r="R1" s="16" t="s">
        <v>164</v>
      </c>
      <c r="S1" s="16"/>
      <c r="T1" s="16" t="s">
        <v>165</v>
      </c>
    </row>
    <row r="2" spans="1:26" hidden="1" x14ac:dyDescent="0.25">
      <c r="A2" s="16"/>
      <c r="B2" s="16"/>
      <c r="D2" s="16"/>
      <c r="E2" s="16"/>
      <c r="F2" s="16"/>
      <c r="G2" s="16"/>
      <c r="H2" s="16"/>
      <c r="L2" s="17" t="s">
        <v>166</v>
      </c>
      <c r="M2" s="16"/>
      <c r="N2" s="16"/>
      <c r="O2" s="16"/>
      <c r="P2" s="16"/>
      <c r="Q2" s="16"/>
      <c r="R2" s="16"/>
      <c r="S2" s="16"/>
      <c r="T2" s="16"/>
      <c r="Z2" s="17" t="s">
        <v>167</v>
      </c>
    </row>
    <row r="3" spans="1:26" hidden="1" x14ac:dyDescent="0.25">
      <c r="A3" s="17"/>
      <c r="B3" s="17" t="s">
        <v>167</v>
      </c>
      <c r="D3" s="17" t="s">
        <v>167</v>
      </c>
      <c r="E3" s="17"/>
      <c r="F3" s="17" t="s">
        <v>167</v>
      </c>
      <c r="G3" s="17"/>
      <c r="H3" s="17" t="s">
        <v>167</v>
      </c>
      <c r="I3" s="17"/>
      <c r="J3" s="17" t="s">
        <v>168</v>
      </c>
      <c r="K3" s="17"/>
      <c r="L3" s="17" t="s">
        <v>167</v>
      </c>
      <c r="M3" s="17"/>
      <c r="N3" s="17" t="s">
        <v>167</v>
      </c>
      <c r="O3" s="6"/>
      <c r="P3" s="17" t="s">
        <v>167</v>
      </c>
      <c r="Q3" s="17"/>
      <c r="R3" s="17" t="s">
        <v>167</v>
      </c>
      <c r="S3" s="17"/>
      <c r="T3" s="17" t="s">
        <v>167</v>
      </c>
      <c r="Z3" s="1" t="s">
        <v>169</v>
      </c>
    </row>
    <row r="4" spans="1:26" x14ac:dyDescent="0.25">
      <c r="B4" s="1" t="s">
        <v>170</v>
      </c>
      <c r="D4" s="1" t="s">
        <v>171</v>
      </c>
      <c r="F4" s="1" t="s">
        <v>120</v>
      </c>
      <c r="H4" s="1" t="s">
        <v>172</v>
      </c>
      <c r="J4" s="1" t="s">
        <v>173</v>
      </c>
      <c r="L4" s="1" t="s">
        <v>174</v>
      </c>
      <c r="N4" s="39" t="s">
        <v>134</v>
      </c>
      <c r="O4" s="6"/>
      <c r="P4" s="36"/>
      <c r="R4" s="1" t="s">
        <v>175</v>
      </c>
      <c r="T4" s="210" t="s">
        <v>466</v>
      </c>
      <c r="Z4" s="1" t="s">
        <v>176</v>
      </c>
    </row>
    <row r="5" spans="1:26" x14ac:dyDescent="0.25">
      <c r="B5" s="1" t="s">
        <v>177</v>
      </c>
      <c r="D5" s="1" t="s">
        <v>178</v>
      </c>
      <c r="F5" s="1" t="s">
        <v>179</v>
      </c>
      <c r="H5" s="210" t="s">
        <v>478</v>
      </c>
      <c r="J5" s="1" t="s">
        <v>134</v>
      </c>
      <c r="L5" s="1" t="s">
        <v>181</v>
      </c>
      <c r="M5" s="6" t="s">
        <v>182</v>
      </c>
      <c r="N5" s="36"/>
      <c r="O5" s="6" t="s">
        <v>182</v>
      </c>
      <c r="R5" s="1" t="s">
        <v>183</v>
      </c>
      <c r="T5" s="210" t="s">
        <v>467</v>
      </c>
    </row>
    <row r="6" spans="1:26" x14ac:dyDescent="0.25">
      <c r="B6" s="1" t="s">
        <v>184</v>
      </c>
      <c r="D6" s="1" t="s">
        <v>185</v>
      </c>
      <c r="F6" s="210" t="s">
        <v>466</v>
      </c>
      <c r="H6" s="210" t="s">
        <v>468</v>
      </c>
      <c r="J6" s="1" t="s">
        <v>187</v>
      </c>
      <c r="L6" s="1" t="s">
        <v>188</v>
      </c>
      <c r="M6" s="6" t="s">
        <v>182</v>
      </c>
      <c r="N6" s="36"/>
      <c r="O6" s="6" t="s">
        <v>182</v>
      </c>
      <c r="R6" s="1" t="s">
        <v>189</v>
      </c>
      <c r="T6" s="210" t="s">
        <v>469</v>
      </c>
      <c r="Z6" s="1" t="s">
        <v>167</v>
      </c>
    </row>
    <row r="7" spans="1:26" x14ac:dyDescent="0.25">
      <c r="B7" s="1" t="s">
        <v>191</v>
      </c>
      <c r="D7" s="1" t="s">
        <v>192</v>
      </c>
      <c r="F7" s="210" t="s">
        <v>467</v>
      </c>
      <c r="H7" s="210" t="s">
        <v>470</v>
      </c>
      <c r="L7" s="1" t="s">
        <v>194</v>
      </c>
      <c r="M7" s="6" t="s">
        <v>182</v>
      </c>
      <c r="N7" s="36"/>
      <c r="O7" s="6" t="s">
        <v>182</v>
      </c>
      <c r="R7" s="1" t="s">
        <v>195</v>
      </c>
      <c r="S7" s="6" t="s">
        <v>182</v>
      </c>
      <c r="Z7" s="1" t="s">
        <v>196</v>
      </c>
    </row>
    <row r="8" spans="1:26" x14ac:dyDescent="0.25">
      <c r="B8" s="1" t="s">
        <v>197</v>
      </c>
      <c r="D8" s="1" t="s">
        <v>198</v>
      </c>
      <c r="F8" s="210" t="s">
        <v>471</v>
      </c>
      <c r="H8" s="210" t="s">
        <v>472</v>
      </c>
      <c r="L8" s="1" t="s">
        <v>200</v>
      </c>
      <c r="M8" s="6" t="s">
        <v>182</v>
      </c>
      <c r="O8" s="6" t="s">
        <v>182</v>
      </c>
      <c r="R8" s="1" t="s">
        <v>460</v>
      </c>
      <c r="S8" s="6" t="s">
        <v>182</v>
      </c>
      <c r="Z8" s="1" t="s">
        <v>201</v>
      </c>
    </row>
    <row r="9" spans="1:26" x14ac:dyDescent="0.25">
      <c r="B9" s="1" t="s">
        <v>202</v>
      </c>
      <c r="C9" s="6"/>
      <c r="D9" s="1" t="s">
        <v>203</v>
      </c>
      <c r="F9" s="210" t="s">
        <v>473</v>
      </c>
      <c r="H9" s="210" t="s">
        <v>474</v>
      </c>
      <c r="L9" s="1" t="s">
        <v>205</v>
      </c>
      <c r="M9" s="6" t="s">
        <v>182</v>
      </c>
      <c r="O9" s="6" t="s">
        <v>182</v>
      </c>
      <c r="R9" s="1" t="s">
        <v>206</v>
      </c>
      <c r="S9" s="6" t="s">
        <v>182</v>
      </c>
    </row>
    <row r="10" spans="1:26" x14ac:dyDescent="0.25">
      <c r="B10" s="1" t="s">
        <v>207</v>
      </c>
      <c r="C10" s="6"/>
      <c r="D10" s="1" t="s">
        <v>208</v>
      </c>
      <c r="F10" s="210" t="s">
        <v>475</v>
      </c>
      <c r="H10" s="210" t="s">
        <v>476</v>
      </c>
      <c r="L10" s="1" t="s">
        <v>210</v>
      </c>
      <c r="O10" s="6" t="s">
        <v>182</v>
      </c>
      <c r="R10" s="1" t="s">
        <v>211</v>
      </c>
      <c r="S10" s="6" t="s">
        <v>182</v>
      </c>
      <c r="Z10" s="17" t="s">
        <v>212</v>
      </c>
    </row>
    <row r="11" spans="1:26" x14ac:dyDescent="0.25">
      <c r="B11" s="1" t="s">
        <v>213</v>
      </c>
      <c r="C11" s="6"/>
      <c r="D11" s="1" t="s">
        <v>214</v>
      </c>
      <c r="F11" s="1" t="s">
        <v>132</v>
      </c>
      <c r="G11" s="6" t="s">
        <v>182</v>
      </c>
      <c r="L11" s="1" t="s">
        <v>215</v>
      </c>
      <c r="O11" s="6" t="s">
        <v>182</v>
      </c>
      <c r="R11" s="1" t="s">
        <v>216</v>
      </c>
      <c r="S11" s="6" t="s">
        <v>182</v>
      </c>
      <c r="Z11" s="1" t="s">
        <v>217</v>
      </c>
    </row>
    <row r="12" spans="1:26" x14ac:dyDescent="0.25">
      <c r="B12" s="1" t="s">
        <v>218</v>
      </c>
      <c r="C12" s="6"/>
      <c r="D12" s="1" t="s">
        <v>219</v>
      </c>
      <c r="F12" s="1" t="s">
        <v>134</v>
      </c>
      <c r="G12" s="6" t="s">
        <v>182</v>
      </c>
      <c r="L12" s="1" t="s">
        <v>220</v>
      </c>
      <c r="O12" s="6" t="s">
        <v>182</v>
      </c>
      <c r="R12" s="1" t="s">
        <v>221</v>
      </c>
      <c r="Z12" s="1" t="s">
        <v>222</v>
      </c>
    </row>
    <row r="13" spans="1:26" x14ac:dyDescent="0.25">
      <c r="B13" s="1" t="s">
        <v>223</v>
      </c>
      <c r="C13" s="6" t="s">
        <v>182</v>
      </c>
      <c r="D13" s="1" t="s">
        <v>224</v>
      </c>
      <c r="E13" s="6"/>
      <c r="F13" s="210" t="s">
        <v>477</v>
      </c>
      <c r="G13" s="6" t="s">
        <v>182</v>
      </c>
      <c r="L13" s="1" t="s">
        <v>225</v>
      </c>
      <c r="O13" s="6" t="s">
        <v>182</v>
      </c>
      <c r="R13" s="1" t="s">
        <v>226</v>
      </c>
      <c r="Z13" s="1" t="s">
        <v>227</v>
      </c>
    </row>
    <row r="14" spans="1:26" x14ac:dyDescent="0.25">
      <c r="B14" s="1" t="s">
        <v>228</v>
      </c>
      <c r="C14" s="6" t="s">
        <v>182</v>
      </c>
      <c r="E14" s="6" t="s">
        <v>182</v>
      </c>
      <c r="F14" s="210" t="s">
        <v>479</v>
      </c>
      <c r="G14" s="6" t="s">
        <v>182</v>
      </c>
      <c r="L14" s="39" t="s">
        <v>229</v>
      </c>
      <c r="Q14" s="6" t="s">
        <v>182</v>
      </c>
    </row>
    <row r="15" spans="1:26" x14ac:dyDescent="0.25">
      <c r="B15" s="1" t="s">
        <v>230</v>
      </c>
      <c r="C15" s="6" t="s">
        <v>182</v>
      </c>
      <c r="E15" s="6" t="s">
        <v>182</v>
      </c>
      <c r="G15" s="6" t="s">
        <v>182</v>
      </c>
      <c r="L15" s="39" t="s">
        <v>231</v>
      </c>
      <c r="Q15" s="6" t="s">
        <v>182</v>
      </c>
      <c r="Z15" s="1" t="s">
        <v>232</v>
      </c>
    </row>
    <row r="16" spans="1:26" x14ac:dyDescent="0.25">
      <c r="B16" s="1" t="s">
        <v>233</v>
      </c>
      <c r="C16" s="6" t="s">
        <v>182</v>
      </c>
      <c r="E16" s="6" t="s">
        <v>182</v>
      </c>
      <c r="L16" s="39" t="s">
        <v>234</v>
      </c>
      <c r="Q16" s="6" t="s">
        <v>182</v>
      </c>
      <c r="Z16" s="1" t="s">
        <v>235</v>
      </c>
    </row>
    <row r="17" spans="1:17" x14ac:dyDescent="0.25">
      <c r="B17" s="1" t="s">
        <v>236</v>
      </c>
      <c r="C17" s="6" t="s">
        <v>182</v>
      </c>
      <c r="E17" s="6" t="s">
        <v>182</v>
      </c>
      <c r="L17" s="39" t="s">
        <v>237</v>
      </c>
      <c r="Q17" s="6" t="s">
        <v>182</v>
      </c>
    </row>
    <row r="18" spans="1:17" x14ac:dyDescent="0.25">
      <c r="B18" s="1" t="s">
        <v>238</v>
      </c>
      <c r="E18" s="6" t="s">
        <v>182</v>
      </c>
      <c r="L18" s="1" t="s">
        <v>239</v>
      </c>
      <c r="Q18" s="6" t="s">
        <v>182</v>
      </c>
    </row>
    <row r="19" spans="1:17" x14ac:dyDescent="0.25">
      <c r="B19" s="1" t="s">
        <v>240</v>
      </c>
      <c r="L19" s="1" t="s">
        <v>241</v>
      </c>
    </row>
    <row r="20" spans="1:17" x14ac:dyDescent="0.25">
      <c r="B20" s="1" t="s">
        <v>242</v>
      </c>
      <c r="L20" s="1" t="s">
        <v>243</v>
      </c>
    </row>
    <row r="21" spans="1:17" x14ac:dyDescent="0.25">
      <c r="B21" s="1" t="s">
        <v>244</v>
      </c>
      <c r="L21" s="1" t="s">
        <v>245</v>
      </c>
    </row>
    <row r="22" spans="1:17" x14ac:dyDescent="0.25">
      <c r="A22" s="6"/>
      <c r="B22" s="39" t="s">
        <v>178</v>
      </c>
      <c r="L22" s="1" t="s">
        <v>246</v>
      </c>
    </row>
    <row r="23" spans="1:17" x14ac:dyDescent="0.25">
      <c r="A23" s="6" t="s">
        <v>182</v>
      </c>
      <c r="L23" s="1" t="s">
        <v>247</v>
      </c>
    </row>
    <row r="24" spans="1:17" x14ac:dyDescent="0.25">
      <c r="A24" s="6" t="s">
        <v>182</v>
      </c>
      <c r="L24" s="1" t="s">
        <v>248</v>
      </c>
    </row>
    <row r="25" spans="1:17" x14ac:dyDescent="0.25">
      <c r="A25" s="6" t="s">
        <v>182</v>
      </c>
      <c r="L25" s="1" t="s">
        <v>249</v>
      </c>
    </row>
    <row r="26" spans="1:17" x14ac:dyDescent="0.25">
      <c r="A26" s="6" t="s">
        <v>182</v>
      </c>
      <c r="L26" s="1" t="s">
        <v>250</v>
      </c>
    </row>
    <row r="27" spans="1:17" x14ac:dyDescent="0.25">
      <c r="A27" s="6" t="s">
        <v>182</v>
      </c>
      <c r="L27" s="1" t="s">
        <v>251</v>
      </c>
    </row>
    <row r="28" spans="1:17" x14ac:dyDescent="0.25">
      <c r="L28" s="1" t="s">
        <v>252</v>
      </c>
    </row>
    <row r="29" spans="1:17" x14ac:dyDescent="0.25">
      <c r="L29" s="1" t="s">
        <v>253</v>
      </c>
    </row>
    <row r="30" spans="1:17" x14ac:dyDescent="0.25">
      <c r="L30" s="1" t="s">
        <v>254</v>
      </c>
    </row>
    <row r="31" spans="1:17" x14ac:dyDescent="0.25">
      <c r="L31" s="1" t="s">
        <v>255</v>
      </c>
    </row>
    <row r="32" spans="1:17" x14ac:dyDescent="0.25">
      <c r="L32" s="1" t="s">
        <v>256</v>
      </c>
    </row>
    <row r="33" spans="12:13" x14ac:dyDescent="0.25">
      <c r="L33" s="1" t="s">
        <v>257</v>
      </c>
    </row>
    <row r="34" spans="12:13" x14ac:dyDescent="0.25">
      <c r="L34" s="1" t="s">
        <v>258</v>
      </c>
    </row>
    <row r="35" spans="12:13" x14ac:dyDescent="0.25">
      <c r="L35" s="1" t="s">
        <v>259</v>
      </c>
    </row>
    <row r="36" spans="12:13" x14ac:dyDescent="0.25">
      <c r="L36" s="1" t="s">
        <v>260</v>
      </c>
    </row>
    <row r="37" spans="12:13" x14ac:dyDescent="0.25">
      <c r="L37" s="1" t="s">
        <v>261</v>
      </c>
    </row>
    <row r="38" spans="12:13" x14ac:dyDescent="0.25">
      <c r="L38" s="1" t="s">
        <v>202</v>
      </c>
    </row>
    <row r="39" spans="12:13" x14ac:dyDescent="0.25">
      <c r="L39" s="1" t="s">
        <v>262</v>
      </c>
    </row>
    <row r="40" spans="12:13" x14ac:dyDescent="0.25">
      <c r="L40" s="1" t="s">
        <v>263</v>
      </c>
    </row>
    <row r="41" spans="12:13" x14ac:dyDescent="0.25">
      <c r="L41" s="1" t="s">
        <v>264</v>
      </c>
    </row>
    <row r="42" spans="12:13" x14ac:dyDescent="0.25">
      <c r="L42" s="1" t="s">
        <v>265</v>
      </c>
    </row>
    <row r="43" spans="12:13" x14ac:dyDescent="0.25">
      <c r="L43" s="1" t="s">
        <v>266</v>
      </c>
    </row>
    <row r="44" spans="12:13" x14ac:dyDescent="0.25">
      <c r="L44" s="1" t="s">
        <v>267</v>
      </c>
    </row>
    <row r="45" spans="12:13" x14ac:dyDescent="0.25">
      <c r="L45" s="1" t="s">
        <v>268</v>
      </c>
      <c r="M45" s="36"/>
    </row>
    <row r="46" spans="12:13" x14ac:dyDescent="0.25">
      <c r="L46" s="1" t="s">
        <v>269</v>
      </c>
      <c r="M46" s="36"/>
    </row>
    <row r="47" spans="12:13" x14ac:dyDescent="0.25">
      <c r="L47" s="39" t="s">
        <v>270</v>
      </c>
      <c r="M47" s="36"/>
    </row>
    <row r="48" spans="12:13" x14ac:dyDescent="0.25">
      <c r="L48" s="39" t="s">
        <v>271</v>
      </c>
      <c r="M48" s="36"/>
    </row>
    <row r="49" spans="9:12" x14ac:dyDescent="0.25">
      <c r="L49" s="39" t="s">
        <v>272</v>
      </c>
    </row>
    <row r="50" spans="9:12" x14ac:dyDescent="0.25">
      <c r="L50" s="39" t="s">
        <v>273</v>
      </c>
    </row>
    <row r="51" spans="9:12" x14ac:dyDescent="0.25">
      <c r="L51" s="1" t="s">
        <v>274</v>
      </c>
    </row>
    <row r="52" spans="9:12" x14ac:dyDescent="0.25">
      <c r="L52" s="1" t="s">
        <v>275</v>
      </c>
    </row>
    <row r="53" spans="9:12" x14ac:dyDescent="0.25">
      <c r="L53" s="1" t="s">
        <v>276</v>
      </c>
    </row>
    <row r="54" spans="9:12" x14ac:dyDescent="0.25">
      <c r="L54" s="1" t="s">
        <v>277</v>
      </c>
    </row>
    <row r="55" spans="9:12" x14ac:dyDescent="0.25">
      <c r="J55" s="6"/>
      <c r="K55" s="6"/>
      <c r="L55" s="39" t="s">
        <v>278</v>
      </c>
    </row>
    <row r="56" spans="9:12" x14ac:dyDescent="0.25">
      <c r="J56" s="6"/>
      <c r="K56" s="6"/>
      <c r="L56" s="39" t="s">
        <v>279</v>
      </c>
    </row>
    <row r="57" spans="9:12" x14ac:dyDescent="0.25">
      <c r="J57" s="6"/>
      <c r="K57" s="6"/>
      <c r="L57" s="39" t="s">
        <v>280</v>
      </c>
    </row>
    <row r="58" spans="9:12" x14ac:dyDescent="0.25">
      <c r="J58" s="6"/>
      <c r="K58" s="6"/>
      <c r="L58" s="39" t="s">
        <v>281</v>
      </c>
    </row>
    <row r="59" spans="9:12" x14ac:dyDescent="0.25">
      <c r="J59" s="6"/>
      <c r="K59" s="6"/>
      <c r="L59" s="39" t="s">
        <v>282</v>
      </c>
    </row>
    <row r="60" spans="9:12" x14ac:dyDescent="0.25">
      <c r="I60" s="6"/>
      <c r="J60" s="6"/>
      <c r="K60" s="6"/>
      <c r="L60" s="39" t="s">
        <v>283</v>
      </c>
    </row>
    <row r="61" spans="9:12" x14ac:dyDescent="0.25">
      <c r="I61" s="6"/>
      <c r="J61" s="6"/>
      <c r="K61" s="6"/>
      <c r="L61" s="39" t="s">
        <v>284</v>
      </c>
    </row>
    <row r="62" spans="9:12" x14ac:dyDescent="0.25">
      <c r="I62" s="6"/>
      <c r="J62" s="6"/>
      <c r="K62" s="6"/>
      <c r="L62" s="39" t="s">
        <v>285</v>
      </c>
    </row>
    <row r="63" spans="9:12" x14ac:dyDescent="0.25">
      <c r="I63" s="6"/>
      <c r="J63" s="6"/>
      <c r="K63" s="6"/>
      <c r="L63" s="39" t="s">
        <v>286</v>
      </c>
    </row>
    <row r="64" spans="9:12" x14ac:dyDescent="0.25">
      <c r="I64" s="6"/>
      <c r="J64" s="6"/>
      <c r="K64" s="6"/>
      <c r="L64" s="39" t="s">
        <v>287</v>
      </c>
    </row>
    <row r="65" spans="9:12" x14ac:dyDescent="0.25">
      <c r="I65" s="6"/>
      <c r="J65" s="6"/>
      <c r="K65" s="6"/>
      <c r="L65" s="39" t="s">
        <v>288</v>
      </c>
    </row>
    <row r="66" spans="9:12" x14ac:dyDescent="0.25">
      <c r="I66" s="6"/>
      <c r="J66" s="6"/>
      <c r="K66" s="6"/>
      <c r="L66" s="39" t="s">
        <v>289</v>
      </c>
    </row>
    <row r="67" spans="9:12" x14ac:dyDescent="0.25">
      <c r="I67" s="6"/>
      <c r="J67" s="6"/>
      <c r="K67" s="6"/>
      <c r="L67" s="39" t="s">
        <v>290</v>
      </c>
    </row>
    <row r="68" spans="9:12" x14ac:dyDescent="0.25">
      <c r="I68" s="6"/>
      <c r="J68" s="6"/>
      <c r="K68" s="6"/>
      <c r="L68" s="39" t="s">
        <v>291</v>
      </c>
    </row>
    <row r="69" spans="9:12" x14ac:dyDescent="0.25">
      <c r="L69" s="39" t="s">
        <v>292</v>
      </c>
    </row>
    <row r="70" spans="9:12" x14ac:dyDescent="0.25">
      <c r="L70" s="39" t="s">
        <v>293</v>
      </c>
    </row>
    <row r="71" spans="9:12" x14ac:dyDescent="0.25">
      <c r="K71" s="6" t="s">
        <v>182</v>
      </c>
      <c r="L71" s="39"/>
    </row>
    <row r="72" spans="9:12" x14ac:dyDescent="0.25">
      <c r="K72" s="6" t="s">
        <v>182</v>
      </c>
      <c r="L72" s="39"/>
    </row>
    <row r="73" spans="9:12" x14ac:dyDescent="0.25">
      <c r="K73" s="6" t="s">
        <v>182</v>
      </c>
      <c r="L73" s="39"/>
    </row>
    <row r="74" spans="9:12" x14ac:dyDescent="0.25">
      <c r="K74" s="6" t="s">
        <v>182</v>
      </c>
      <c r="L74" s="39"/>
    </row>
    <row r="75" spans="9:12" x14ac:dyDescent="0.25">
      <c r="K75" s="6"/>
      <c r="L75" s="39"/>
    </row>
    <row r="84" spans="12:12" x14ac:dyDescent="0.25">
      <c r="L84" s="36"/>
    </row>
  </sheetData>
  <sortState xmlns:xlrd2="http://schemas.microsoft.com/office/spreadsheetml/2017/richdata2" ref="L55:L68">
    <sortCondition ref="L55"/>
  </sortState>
  <conditionalFormatting sqref="L10">
    <cfRule type="duplicateValues" dxfId="669" priority="17"/>
  </conditionalFormatting>
  <conditionalFormatting sqref="L55">
    <cfRule type="duplicateValues" dxfId="668" priority="15"/>
  </conditionalFormatting>
  <conditionalFormatting sqref="L55">
    <cfRule type="duplicateValues" dxfId="667" priority="16"/>
  </conditionalFormatting>
  <conditionalFormatting sqref="L56">
    <cfRule type="duplicateValues" dxfId="666" priority="13"/>
  </conditionalFormatting>
  <conditionalFormatting sqref="L56">
    <cfRule type="duplicateValues" dxfId="665" priority="14"/>
  </conditionalFormatting>
  <conditionalFormatting sqref="L57">
    <cfRule type="duplicateValues" dxfId="664" priority="11"/>
  </conditionalFormatting>
  <conditionalFormatting sqref="L57">
    <cfRule type="duplicateValues" dxfId="663" priority="12"/>
  </conditionalFormatting>
  <conditionalFormatting sqref="L62:L63">
    <cfRule type="duplicateValues" dxfId="662" priority="9"/>
  </conditionalFormatting>
  <conditionalFormatting sqref="L62:L63">
    <cfRule type="duplicateValues" dxfId="661" priority="10"/>
  </conditionalFormatting>
  <conditionalFormatting sqref="L64">
    <cfRule type="duplicateValues" dxfId="660" priority="7"/>
  </conditionalFormatting>
  <conditionalFormatting sqref="L64">
    <cfRule type="duplicateValues" dxfId="659" priority="8"/>
  </conditionalFormatting>
  <conditionalFormatting sqref="L66">
    <cfRule type="duplicateValues" dxfId="658" priority="3"/>
  </conditionalFormatting>
  <conditionalFormatting sqref="L66">
    <cfRule type="duplicateValues" dxfId="657" priority="4"/>
  </conditionalFormatting>
  <conditionalFormatting sqref="L67">
    <cfRule type="duplicateValues" dxfId="656" priority="1"/>
  </conditionalFormatting>
  <conditionalFormatting sqref="L67">
    <cfRule type="duplicateValues" dxfId="655" priority="2"/>
  </conditionalFormatting>
  <conditionalFormatting sqref="L94:L1048576 L1:L3 L72:L92 L68:L70">
    <cfRule type="duplicateValues" dxfId="654" priority="755"/>
  </conditionalFormatting>
  <conditionalFormatting sqref="L4:L54 L72:L74 L68:L70">
    <cfRule type="duplicateValues" dxfId="653" priority="760"/>
  </conditionalFormatting>
  <conditionalFormatting sqref="L65">
    <cfRule type="duplicateValues" dxfId="652" priority="764"/>
  </conditionalFormatting>
  <pageMargins left="0.7" right="0.7" top="0.75" bottom="0.75" header="0.3" footer="0.3"/>
  <pageSetup paperSize="9" scale="3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3FDE5-4DC6-404E-B3E1-F45CD0314989}">
  <sheetPr>
    <tabColor theme="5"/>
  </sheetPr>
  <dimension ref="A1:AH200"/>
  <sheetViews>
    <sheetView zoomScale="90" zoomScaleNormal="90" workbookViewId="0">
      <pane xSplit="2" ySplit="2" topLeftCell="C49" activePane="bottomRight" state="frozen"/>
      <selection pane="topRight" activeCell="C1" sqref="C1"/>
      <selection pane="bottomLeft" activeCell="A3" sqref="A3"/>
      <selection pane="bottomRight" activeCell="B1" sqref="B1"/>
    </sheetView>
  </sheetViews>
  <sheetFormatPr defaultRowHeight="15.75" x14ac:dyDescent="0.25"/>
  <cols>
    <col min="2" max="2" width="47.75" customWidth="1"/>
    <col min="3" max="4" width="14.25" customWidth="1"/>
    <col min="5" max="5" width="13.125" customWidth="1"/>
    <col min="6" max="6" width="13.5" customWidth="1"/>
    <col min="10" max="10" width="15.375" customWidth="1"/>
    <col min="11" max="11" width="11.5" customWidth="1"/>
    <col min="16" max="16" width="9" style="183"/>
    <col min="17" max="17" width="15.375" style="183" customWidth="1"/>
    <col min="18" max="33" width="9" style="183"/>
    <col min="34" max="34" width="9" style="195"/>
  </cols>
  <sheetData>
    <row r="1" spans="1:30" ht="18.75" x14ac:dyDescent="0.3">
      <c r="A1" s="180" t="s">
        <v>410</v>
      </c>
      <c r="B1" s="181" t="str" cm="1">
        <f t="array" ref="B1:M1">'Technology Factsheet'!D5:O5</f>
        <v>Geothermal heat production, deep, (&gt;1500 &lt; 4000 meter)</v>
      </c>
      <c r="C1" s="182">
        <v>0</v>
      </c>
      <c r="D1" s="182">
        <v>0</v>
      </c>
      <c r="E1" s="182">
        <v>0</v>
      </c>
      <c r="F1" s="182">
        <v>0</v>
      </c>
      <c r="G1" s="182">
        <v>0</v>
      </c>
      <c r="H1" s="182">
        <v>0</v>
      </c>
      <c r="I1" s="182">
        <v>0</v>
      </c>
      <c r="J1" s="182">
        <v>0</v>
      </c>
      <c r="K1" s="182">
        <v>0</v>
      </c>
      <c r="L1" s="182">
        <v>0</v>
      </c>
      <c r="M1" s="182">
        <v>0</v>
      </c>
      <c r="N1" s="182"/>
      <c r="O1" s="182"/>
      <c r="P1" s="182"/>
      <c r="Q1" s="183" t="s">
        <v>411</v>
      </c>
    </row>
    <row r="2" spans="1:30" x14ac:dyDescent="0.25">
      <c r="A2" s="184" t="s">
        <v>412</v>
      </c>
      <c r="B2" s="184" t="s">
        <v>413</v>
      </c>
      <c r="C2" s="184" t="s">
        <v>314</v>
      </c>
      <c r="D2" s="185" t="s">
        <v>414</v>
      </c>
      <c r="E2" s="184" t="s">
        <v>415</v>
      </c>
      <c r="F2" s="184" t="s">
        <v>416</v>
      </c>
      <c r="G2" s="184" t="s">
        <v>417</v>
      </c>
      <c r="J2" s="186" t="s">
        <v>418</v>
      </c>
      <c r="K2" s="186" t="s">
        <v>419</v>
      </c>
      <c r="R2" s="187"/>
      <c r="S2" s="187"/>
      <c r="T2" s="187"/>
      <c r="U2" s="187"/>
    </row>
    <row r="3" spans="1:30" x14ac:dyDescent="0.25">
      <c r="A3" s="188">
        <v>1</v>
      </c>
      <c r="B3" s="189" t="s">
        <v>420</v>
      </c>
      <c r="C3" s="184"/>
      <c r="D3" s="184"/>
      <c r="E3" s="184"/>
      <c r="F3" s="184"/>
      <c r="G3" s="190" t="str">
        <f>'Data input'!D5</f>
        <v>Geothermal heat production, deep, (&gt;1500 &lt; 4000 meter)</v>
      </c>
      <c r="J3" s="191" t="s">
        <v>421</v>
      </c>
      <c r="K3" s="191" t="s">
        <v>422</v>
      </c>
      <c r="Q3" s="183" t="str" cm="1">
        <f t="array" ref="Q3:R3">'Technology Factsheet'!B11:C11</f>
        <v>TRL level 2020</v>
      </c>
      <c r="R3" s="187">
        <v>0</v>
      </c>
      <c r="S3" s="187"/>
      <c r="T3" s="187"/>
      <c r="U3" s="187"/>
    </row>
    <row r="4" spans="1:30" x14ac:dyDescent="0.25">
      <c r="A4" s="188">
        <f>A3+1</f>
        <v>2</v>
      </c>
      <c r="B4" s="189" t="s">
        <v>423</v>
      </c>
      <c r="C4" s="184"/>
      <c r="D4" s="184"/>
      <c r="E4" s="184"/>
      <c r="F4" s="184"/>
      <c r="G4" s="188">
        <f>'Data input'!O12</f>
        <v>0</v>
      </c>
      <c r="J4" s="191" t="s">
        <v>424</v>
      </c>
      <c r="K4" s="191" t="s">
        <v>422</v>
      </c>
      <c r="Q4" s="183" t="str" cm="1">
        <f t="array" ref="Q4:AB4">'Technology Factsheet'!D11:O11</f>
        <v>TRL 8</v>
      </c>
      <c r="R4" s="187">
        <v>0</v>
      </c>
      <c r="S4" s="187">
        <v>0</v>
      </c>
      <c r="T4" s="187">
        <v>0</v>
      </c>
      <c r="U4" s="187">
        <v>0</v>
      </c>
      <c r="V4" s="183">
        <v>0</v>
      </c>
      <c r="W4" s="183">
        <v>0</v>
      </c>
      <c r="X4" s="183">
        <v>0</v>
      </c>
      <c r="Y4" s="183">
        <v>0</v>
      </c>
      <c r="Z4" s="183">
        <v>0</v>
      </c>
      <c r="AA4" s="183">
        <v>0</v>
      </c>
      <c r="AB4" s="183">
        <v>0</v>
      </c>
    </row>
    <row r="5" spans="1:30" x14ac:dyDescent="0.25">
      <c r="A5" s="188">
        <f t="shared" ref="A5:A15" si="0">A4+1</f>
        <v>3</v>
      </c>
      <c r="B5" s="189" t="s">
        <v>425</v>
      </c>
      <c r="C5" s="184"/>
      <c r="D5" s="184"/>
      <c r="E5" s="184"/>
      <c r="F5" s="184"/>
      <c r="G5" s="192" t="s">
        <v>461</v>
      </c>
      <c r="J5" s="191" t="s">
        <v>426</v>
      </c>
      <c r="K5" s="193" t="s">
        <v>427</v>
      </c>
      <c r="Q5" s="183" t="str" cm="1">
        <f t="array" ref="Q5:R5">'Technology Factsheet'!B15:C15</f>
        <v>Capacity</v>
      </c>
      <c r="R5" s="187">
        <v>0</v>
      </c>
      <c r="S5" s="187"/>
      <c r="T5" s="187"/>
      <c r="U5" s="187"/>
      <c r="V5" s="183" cm="1">
        <f t="array" ref="V5:X5">'Technology Factsheet'!G16:I16</f>
        <v>15000</v>
      </c>
      <c r="W5" s="183">
        <v>0</v>
      </c>
      <c r="X5" s="183">
        <v>0</v>
      </c>
    </row>
    <row r="6" spans="1:30" x14ac:dyDescent="0.25">
      <c r="A6" s="188">
        <f t="shared" si="0"/>
        <v>4</v>
      </c>
      <c r="B6" s="189" t="str">
        <f>Q3</f>
        <v>TRL level 2020</v>
      </c>
      <c r="C6" s="194"/>
      <c r="D6" s="194"/>
      <c r="E6" s="194" t="str">
        <f>RIGHT(Q3,4)</f>
        <v>2020</v>
      </c>
      <c r="F6" s="194"/>
      <c r="G6" s="194" t="str">
        <f>RIGHT(Q4,1)</f>
        <v>8</v>
      </c>
      <c r="J6" s="191" t="s">
        <v>421</v>
      </c>
      <c r="K6" s="191" t="s">
        <v>422</v>
      </c>
      <c r="Q6" s="183" t="str" cm="1">
        <f t="array" ref="Q6:S7">'Technology Factsheet'!D15:F16</f>
        <v>kW</v>
      </c>
      <c r="R6" s="187">
        <v>0</v>
      </c>
      <c r="S6" s="187">
        <v>0</v>
      </c>
      <c r="T6" s="187"/>
      <c r="U6" s="187"/>
      <c r="V6" s="183" cm="1">
        <f t="array" ref="V6:X6">'Technology Factsheet'!M16:O16</f>
        <v>15000</v>
      </c>
      <c r="W6" s="183">
        <v>0</v>
      </c>
      <c r="X6" s="183">
        <v>0</v>
      </c>
    </row>
    <row r="7" spans="1:30" x14ac:dyDescent="0.25">
      <c r="A7" s="188">
        <f t="shared" si="0"/>
        <v>5</v>
      </c>
      <c r="B7" s="189" t="str">
        <f>Q5</f>
        <v>Capacity</v>
      </c>
      <c r="C7" s="194" t="str">
        <f>Q6</f>
        <v>kW</v>
      </c>
      <c r="D7" s="194"/>
      <c r="E7" s="194"/>
      <c r="F7" s="194" t="s">
        <v>428</v>
      </c>
      <c r="G7" s="194">
        <f>IF(OR(V5="Min",V5="Max",V5=0),"-",V5)</f>
        <v>15000</v>
      </c>
      <c r="J7" s="191" t="s">
        <v>421</v>
      </c>
      <c r="K7" s="191" t="s">
        <v>422</v>
      </c>
      <c r="Q7" s="183">
        <v>0</v>
      </c>
      <c r="R7" s="187">
        <v>0</v>
      </c>
      <c r="S7" s="187">
        <v>0</v>
      </c>
      <c r="T7" s="187"/>
      <c r="U7" s="187"/>
      <c r="V7" s="183" cm="1">
        <f t="array" ref="V7:AD7">'Technology Factsheet'!G15:O15</f>
        <v>15000</v>
      </c>
      <c r="W7" s="183">
        <v>0</v>
      </c>
      <c r="X7" s="183">
        <v>0</v>
      </c>
      <c r="Y7" s="183">
        <v>0</v>
      </c>
      <c r="Z7" s="183">
        <v>0</v>
      </c>
      <c r="AA7" s="183">
        <v>0</v>
      </c>
      <c r="AB7" s="183">
        <v>0</v>
      </c>
      <c r="AC7" s="183">
        <v>0</v>
      </c>
      <c r="AD7" s="183">
        <v>0</v>
      </c>
    </row>
    <row r="8" spans="1:30" x14ac:dyDescent="0.25">
      <c r="A8" s="188">
        <f t="shared" si="0"/>
        <v>6</v>
      </c>
      <c r="B8" s="189" t="str">
        <f>B7</f>
        <v>Capacity</v>
      </c>
      <c r="C8" s="194" t="str">
        <f>C7</f>
        <v>kW</v>
      </c>
      <c r="D8" s="194"/>
      <c r="E8" s="194"/>
      <c r="F8" s="194" t="s">
        <v>429</v>
      </c>
      <c r="G8" s="194">
        <f t="shared" ref="G8:G9" si="1">IF(OR(V6="Min",V6="Max",V6=0),"-",V6)</f>
        <v>15000</v>
      </c>
      <c r="J8" s="191" t="s">
        <v>421</v>
      </c>
      <c r="K8" s="191" t="s">
        <v>422</v>
      </c>
      <c r="Q8" s="183" cm="1">
        <f t="array" ref="Q8:R10">'Technology Factsheet'!B17:C19</f>
        <v>0</v>
      </c>
      <c r="R8" s="187">
        <v>0</v>
      </c>
      <c r="S8" s="187"/>
      <c r="T8" s="187"/>
      <c r="U8" s="187"/>
      <c r="V8" s="183" t="str">
        <f>'Technology Factsheet'!$G$19</f>
        <v>Min</v>
      </c>
    </row>
    <row r="9" spans="1:30" x14ac:dyDescent="0.25">
      <c r="A9" s="188">
        <f t="shared" si="0"/>
        <v>7</v>
      </c>
      <c r="B9" s="189" t="str">
        <f>B8</f>
        <v>Capacity</v>
      </c>
      <c r="C9" s="194" t="str">
        <f>C8</f>
        <v>kW</v>
      </c>
      <c r="D9" s="194"/>
      <c r="E9" s="194"/>
      <c r="F9" s="194" t="s">
        <v>430</v>
      </c>
      <c r="G9" s="194">
        <f t="shared" si="1"/>
        <v>15000</v>
      </c>
      <c r="J9" s="191" t="s">
        <v>421</v>
      </c>
      <c r="K9" s="191" t="s">
        <v>422</v>
      </c>
      <c r="Q9" s="183" t="str">
        <v>Potential</v>
      </c>
      <c r="R9" s="187">
        <v>0</v>
      </c>
      <c r="S9" s="187"/>
      <c r="T9" s="187"/>
      <c r="U9" s="187"/>
      <c r="V9" s="183" t="str">
        <f>'Technology Factsheet'!$I$19</f>
        <v>Max</v>
      </c>
    </row>
    <row r="10" spans="1:30" x14ac:dyDescent="0.25">
      <c r="A10" s="188">
        <f t="shared" si="0"/>
        <v>8</v>
      </c>
      <c r="B10" s="189">
        <f>Q8</f>
        <v>0</v>
      </c>
      <c r="C10" s="194" t="str">
        <f>Q14</f>
        <v>MW</v>
      </c>
      <c r="D10" s="194"/>
      <c r="E10" s="194">
        <f>$Q$38</f>
        <v>2020</v>
      </c>
      <c r="F10" s="194" t="str">
        <f>F7</f>
        <v>min</v>
      </c>
      <c r="G10" s="194" t="str">
        <f>IF(OR(V8="Min", V8="Max", V8=0),"-",V8)</f>
        <v>-</v>
      </c>
      <c r="J10" s="191" t="s">
        <v>421</v>
      </c>
      <c r="K10" s="191" t="s">
        <v>422</v>
      </c>
      <c r="Q10" s="183">
        <v>0</v>
      </c>
      <c r="R10" s="187">
        <v>0</v>
      </c>
      <c r="S10" s="187"/>
      <c r="T10" s="187"/>
      <c r="U10" s="187"/>
      <c r="V10" s="183" cm="1">
        <f t="array" ref="V10:X10">'Technology Factsheet'!$G$18:$I$18</f>
        <v>0</v>
      </c>
      <c r="W10" s="183">
        <v>0</v>
      </c>
      <c r="X10" s="183">
        <v>0</v>
      </c>
    </row>
    <row r="11" spans="1:30" x14ac:dyDescent="0.25">
      <c r="A11" s="188">
        <f t="shared" si="0"/>
        <v>9</v>
      </c>
      <c r="B11" s="189">
        <f>B10</f>
        <v>0</v>
      </c>
      <c r="C11" s="194" t="str">
        <f>C10</f>
        <v>MW</v>
      </c>
      <c r="D11" s="194"/>
      <c r="E11" s="194">
        <f>E10</f>
        <v>2020</v>
      </c>
      <c r="F11" s="194" t="str">
        <f t="shared" ref="F11:F18" si="2">F8</f>
        <v>max</v>
      </c>
      <c r="G11" s="194" t="str">
        <f t="shared" ref="G11:G17" si="3">IF(OR(V9="Min", V9="Max", V9=0),"-",V9)</f>
        <v>-</v>
      </c>
      <c r="J11" s="191" t="s">
        <v>421</v>
      </c>
      <c r="K11" s="191" t="s">
        <v>422</v>
      </c>
      <c r="Q11" s="183" t="str" cm="1">
        <f t="array" ref="Q11:R13">'Technology Factsheet'!D17:E19</f>
        <v>NL</v>
      </c>
      <c r="R11" s="187">
        <v>0</v>
      </c>
      <c r="S11" s="187"/>
      <c r="T11" s="187"/>
      <c r="U11" s="187"/>
      <c r="V11" s="183">
        <f>'Technology Factsheet'!$J$19</f>
        <v>2314.8148148148148</v>
      </c>
    </row>
    <row r="12" spans="1:30" x14ac:dyDescent="0.25">
      <c r="A12" s="188">
        <f t="shared" si="0"/>
        <v>10</v>
      </c>
      <c r="B12" s="189">
        <f t="shared" ref="B12:C18" si="4">B11</f>
        <v>0</v>
      </c>
      <c r="C12" s="194" t="str">
        <f t="shared" si="4"/>
        <v>MW</v>
      </c>
      <c r="D12" s="194"/>
      <c r="E12" s="194">
        <f>E11</f>
        <v>2020</v>
      </c>
      <c r="F12" s="194" t="str">
        <f t="shared" si="2"/>
        <v>main</v>
      </c>
      <c r="G12" s="194" t="str">
        <f t="shared" si="3"/>
        <v>-</v>
      </c>
      <c r="J12" s="191" t="s">
        <v>421</v>
      </c>
      <c r="K12" s="191" t="s">
        <v>422</v>
      </c>
      <c r="Q12" s="183">
        <v>0</v>
      </c>
      <c r="R12" s="187">
        <v>0</v>
      </c>
      <c r="S12" s="187"/>
      <c r="T12" s="187"/>
      <c r="U12" s="187"/>
      <c r="V12" s="183">
        <f>'Technology Factsheet'!$L$19</f>
        <v>2314.8148148148148</v>
      </c>
    </row>
    <row r="13" spans="1:30" x14ac:dyDescent="0.25">
      <c r="A13" s="188">
        <f t="shared" si="0"/>
        <v>11</v>
      </c>
      <c r="B13" s="189">
        <f t="shared" si="4"/>
        <v>0</v>
      </c>
      <c r="C13" s="194" t="str">
        <f t="shared" si="4"/>
        <v>MW</v>
      </c>
      <c r="D13" s="194"/>
      <c r="E13" s="194">
        <f>$Q$40</f>
        <v>2030</v>
      </c>
      <c r="F13" s="194" t="str">
        <f t="shared" si="2"/>
        <v>min</v>
      </c>
      <c r="G13" s="194">
        <f t="shared" si="3"/>
        <v>2314.8148148148148</v>
      </c>
      <c r="J13" s="191" t="s">
        <v>421</v>
      </c>
      <c r="K13" s="191" t="s">
        <v>422</v>
      </c>
      <c r="Q13" s="183">
        <v>0</v>
      </c>
      <c r="R13" s="187">
        <v>0</v>
      </c>
      <c r="S13" s="187"/>
      <c r="T13" s="187"/>
      <c r="U13" s="187"/>
      <c r="V13" s="183" cm="1">
        <f t="array" ref="V13:X13">'Technology Factsheet'!$J$18:$L$18</f>
        <v>2314.8148148148148</v>
      </c>
      <c r="W13" s="183">
        <v>0</v>
      </c>
      <c r="X13" s="183">
        <v>0</v>
      </c>
    </row>
    <row r="14" spans="1:30" x14ac:dyDescent="0.25">
      <c r="A14" s="188">
        <f t="shared" si="0"/>
        <v>12</v>
      </c>
      <c r="B14" s="189">
        <f t="shared" si="4"/>
        <v>0</v>
      </c>
      <c r="C14" s="194" t="str">
        <f t="shared" si="4"/>
        <v>MW</v>
      </c>
      <c r="D14" s="194"/>
      <c r="E14" s="194">
        <f>E13</f>
        <v>2030</v>
      </c>
      <c r="F14" s="194" t="str">
        <f t="shared" si="2"/>
        <v>max</v>
      </c>
      <c r="G14" s="194">
        <f t="shared" si="3"/>
        <v>2314.8148148148148</v>
      </c>
      <c r="J14" s="191" t="s">
        <v>421</v>
      </c>
      <c r="K14" s="191" t="s">
        <v>422</v>
      </c>
      <c r="Q14" s="183" t="str" cm="1">
        <f t="array" ref="Q14:Q16">'Technology Factsheet'!F17:F19</f>
        <v>MW</v>
      </c>
      <c r="R14" s="187"/>
      <c r="S14" s="187"/>
      <c r="T14" s="187"/>
      <c r="U14" s="187"/>
      <c r="V14" s="183">
        <f>'Technology Factsheet'!$M$19</f>
        <v>9259.2592592592591</v>
      </c>
    </row>
    <row r="15" spans="1:30" x14ac:dyDescent="0.25">
      <c r="A15" s="188">
        <f t="shared" si="0"/>
        <v>13</v>
      </c>
      <c r="B15" s="189">
        <f t="shared" si="4"/>
        <v>0</v>
      </c>
      <c r="C15" s="194" t="str">
        <f t="shared" si="4"/>
        <v>MW</v>
      </c>
      <c r="D15" s="194"/>
      <c r="E15" s="194">
        <f>E14</f>
        <v>2030</v>
      </c>
      <c r="F15" s="194" t="str">
        <f t="shared" si="2"/>
        <v>main</v>
      </c>
      <c r="G15" s="194">
        <f t="shared" si="3"/>
        <v>2314.8148148148148</v>
      </c>
      <c r="J15" s="191" t="s">
        <v>421</v>
      </c>
      <c r="K15" s="191" t="s">
        <v>422</v>
      </c>
      <c r="Q15" s="183">
        <v>0</v>
      </c>
      <c r="R15" s="187"/>
      <c r="S15" s="187"/>
      <c r="T15" s="187"/>
      <c r="U15" s="187"/>
      <c r="V15" s="183">
        <f>'Technology Factsheet'!$O$19</f>
        <v>9259.2592592592591</v>
      </c>
    </row>
    <row r="16" spans="1:30" x14ac:dyDescent="0.25">
      <c r="A16" s="188">
        <f>A15+1</f>
        <v>14</v>
      </c>
      <c r="B16" s="189">
        <f t="shared" si="4"/>
        <v>0</v>
      </c>
      <c r="C16" s="194" t="str">
        <f t="shared" si="4"/>
        <v>MW</v>
      </c>
      <c r="D16" s="194"/>
      <c r="E16" s="194">
        <f>$Q$41</f>
        <v>2050</v>
      </c>
      <c r="F16" s="194" t="str">
        <f t="shared" si="2"/>
        <v>min</v>
      </c>
      <c r="G16" s="194">
        <f t="shared" si="3"/>
        <v>9259.2592592592591</v>
      </c>
      <c r="J16" s="191" t="s">
        <v>421</v>
      </c>
      <c r="K16" s="191" t="s">
        <v>422</v>
      </c>
      <c r="Q16" s="183">
        <v>0</v>
      </c>
      <c r="R16" s="187"/>
      <c r="S16" s="187"/>
      <c r="T16" s="187"/>
      <c r="U16" s="187"/>
      <c r="V16" s="183" cm="1">
        <f t="array" ref="V16:X16">'Technology Factsheet'!$M$18:$O$18</f>
        <v>9259.2592592592591</v>
      </c>
      <c r="W16" s="183">
        <v>0</v>
      </c>
      <c r="X16" s="183">
        <v>0</v>
      </c>
    </row>
    <row r="17" spans="1:33" x14ac:dyDescent="0.25">
      <c r="A17" s="188">
        <f t="shared" ref="A17:A80" si="5">A16+1</f>
        <v>15</v>
      </c>
      <c r="B17" s="189">
        <f t="shared" si="4"/>
        <v>0</v>
      </c>
      <c r="C17" s="194" t="str">
        <f t="shared" si="4"/>
        <v>MW</v>
      </c>
      <c r="D17" s="194"/>
      <c r="E17" s="194">
        <f>E16</f>
        <v>2050</v>
      </c>
      <c r="F17" s="194" t="str">
        <f t="shared" si="2"/>
        <v>max</v>
      </c>
      <c r="G17" s="194">
        <f t="shared" si="3"/>
        <v>9259.2592592592591</v>
      </c>
      <c r="J17" s="191" t="s">
        <v>421</v>
      </c>
      <c r="K17" s="191" t="s">
        <v>422</v>
      </c>
      <c r="Q17" s="183" t="str" cm="1">
        <f t="array" ref="Q17:R18">'Technology Factsheet'!B20:C21</f>
        <v>Market share</v>
      </c>
      <c r="R17" s="187">
        <v>0</v>
      </c>
      <c r="S17" s="187"/>
      <c r="T17" s="187"/>
      <c r="U17" s="187"/>
      <c r="V17" s="183" t="str">
        <f>'Technology Factsheet'!$G$21</f>
        <v>Min</v>
      </c>
    </row>
    <row r="18" spans="1:33" x14ac:dyDescent="0.25">
      <c r="A18" s="188">
        <f t="shared" si="5"/>
        <v>16</v>
      </c>
      <c r="B18" s="189">
        <f t="shared" si="4"/>
        <v>0</v>
      </c>
      <c r="C18" s="194" t="str">
        <f t="shared" si="4"/>
        <v>MW</v>
      </c>
      <c r="D18" s="194"/>
      <c r="E18" s="194">
        <f>E17</f>
        <v>2050</v>
      </c>
      <c r="F18" s="194" t="str">
        <f t="shared" si="2"/>
        <v>main</v>
      </c>
      <c r="G18" s="194">
        <f>IF(OR(V16="Min", V16="Max", V16=0),"-",V16)</f>
        <v>9259.2592592592591</v>
      </c>
      <c r="J18" s="191" t="s">
        <v>421</v>
      </c>
      <c r="K18" s="191" t="s">
        <v>422</v>
      </c>
      <c r="Q18" s="183">
        <v>0</v>
      </c>
      <c r="R18" s="187">
        <v>0</v>
      </c>
      <c r="S18" s="187"/>
      <c r="T18" s="187"/>
      <c r="U18" s="187"/>
      <c r="V18" s="183" t="str">
        <f>'Technology Factsheet'!$I$21</f>
        <v>Max</v>
      </c>
    </row>
    <row r="19" spans="1:33" x14ac:dyDescent="0.25">
      <c r="A19" s="188">
        <f t="shared" si="5"/>
        <v>17</v>
      </c>
      <c r="B19" s="189" t="str">
        <f>Q17</f>
        <v>Market share</v>
      </c>
      <c r="C19" s="194" t="str">
        <f>Q21</f>
        <v>%</v>
      </c>
      <c r="D19" s="194"/>
      <c r="E19" s="194">
        <f>$Q$38</f>
        <v>2020</v>
      </c>
      <c r="F19" s="194" t="str">
        <f>F16</f>
        <v>min</v>
      </c>
      <c r="G19" s="194" t="str">
        <f t="shared" ref="G19:G29" si="6">IF(OR(V17="Min", V17="Max", V17=0),"-",V17)</f>
        <v>-</v>
      </c>
      <c r="J19" s="191" t="s">
        <v>421</v>
      </c>
      <c r="K19" s="191" t="s">
        <v>422</v>
      </c>
      <c r="Q19" s="183" t="str" cm="1">
        <f t="array" ref="Q19:R20">'Technology Factsheet'!D20:E21</f>
        <v/>
      </c>
      <c r="R19" s="187">
        <v>0</v>
      </c>
      <c r="S19" s="187"/>
      <c r="T19" s="187"/>
      <c r="U19" s="187"/>
      <c r="V19" s="183" cm="1">
        <f t="array" ref="V19:X19">'Technology Factsheet'!$G$20:$I$20</f>
        <v>0</v>
      </c>
      <c r="W19" s="183">
        <v>0</v>
      </c>
      <c r="X19" s="183">
        <v>0</v>
      </c>
    </row>
    <row r="20" spans="1:33" x14ac:dyDescent="0.25">
      <c r="A20" s="188">
        <f t="shared" si="5"/>
        <v>18</v>
      </c>
      <c r="B20" s="189" t="str">
        <f>B19</f>
        <v>Market share</v>
      </c>
      <c r="C20" s="194" t="str">
        <f>C19</f>
        <v>%</v>
      </c>
      <c r="D20" s="194"/>
      <c r="E20" s="194">
        <f>E19</f>
        <v>2020</v>
      </c>
      <c r="F20" s="194" t="str">
        <f t="shared" ref="F20:F27" si="7">F17</f>
        <v>max</v>
      </c>
      <c r="G20" s="194" t="str">
        <f t="shared" si="6"/>
        <v>-</v>
      </c>
      <c r="J20" s="191" t="s">
        <v>421</v>
      </c>
      <c r="K20" s="191" t="s">
        <v>422</v>
      </c>
      <c r="Q20" s="183">
        <v>0</v>
      </c>
      <c r="R20" s="187">
        <v>0</v>
      </c>
      <c r="S20" s="187"/>
      <c r="T20" s="187"/>
      <c r="U20" s="187"/>
      <c r="V20" s="183">
        <f>'Technology Factsheet'!$J$21</f>
        <v>5</v>
      </c>
    </row>
    <row r="21" spans="1:33" x14ac:dyDescent="0.25">
      <c r="A21" s="188">
        <f t="shared" si="5"/>
        <v>19</v>
      </c>
      <c r="B21" s="189" t="str">
        <f t="shared" ref="B21:C27" si="8">B20</f>
        <v>Market share</v>
      </c>
      <c r="C21" s="194" t="str">
        <f t="shared" si="8"/>
        <v>%</v>
      </c>
      <c r="D21" s="194"/>
      <c r="E21" s="194">
        <f>E20</f>
        <v>2020</v>
      </c>
      <c r="F21" s="194" t="str">
        <f t="shared" si="7"/>
        <v>main</v>
      </c>
      <c r="G21" s="194" t="str">
        <f t="shared" si="6"/>
        <v>-</v>
      </c>
      <c r="J21" s="191" t="s">
        <v>421</v>
      </c>
      <c r="K21" s="191" t="s">
        <v>422</v>
      </c>
      <c r="Q21" s="183" t="str" cm="1">
        <f t="array" ref="Q21:Q22">'Technology Factsheet'!F20:F21</f>
        <v>%</v>
      </c>
      <c r="R21" s="187"/>
      <c r="S21" s="187"/>
      <c r="T21" s="187"/>
      <c r="U21" s="187"/>
      <c r="V21" s="183">
        <f>'Technology Factsheet'!$L$21</f>
        <v>5</v>
      </c>
    </row>
    <row r="22" spans="1:33" x14ac:dyDescent="0.25">
      <c r="A22" s="188">
        <f t="shared" si="5"/>
        <v>20</v>
      </c>
      <c r="B22" s="189" t="str">
        <f t="shared" si="8"/>
        <v>Market share</v>
      </c>
      <c r="C22" s="194" t="str">
        <f t="shared" si="8"/>
        <v>%</v>
      </c>
      <c r="D22" s="194"/>
      <c r="E22" s="194">
        <f>$Q$40</f>
        <v>2030</v>
      </c>
      <c r="F22" s="194" t="str">
        <f t="shared" si="7"/>
        <v>min</v>
      </c>
      <c r="G22" s="194">
        <f t="shared" si="6"/>
        <v>5</v>
      </c>
      <c r="J22" s="191" t="s">
        <v>421</v>
      </c>
      <c r="K22" s="191" t="s">
        <v>422</v>
      </c>
      <c r="Q22" s="183">
        <v>0</v>
      </c>
      <c r="R22" s="187"/>
      <c r="S22" s="187"/>
      <c r="T22" s="187"/>
      <c r="U22" s="187"/>
      <c r="V22" s="183" cm="1">
        <f t="array" ref="V22:X22">'Technology Factsheet'!$J$20:$L$20</f>
        <v>5</v>
      </c>
      <c r="W22" s="183">
        <v>0</v>
      </c>
      <c r="X22" s="183">
        <v>0</v>
      </c>
    </row>
    <row r="23" spans="1:33" x14ac:dyDescent="0.25">
      <c r="A23" s="188">
        <f t="shared" si="5"/>
        <v>21</v>
      </c>
      <c r="B23" s="189" t="str">
        <f t="shared" si="8"/>
        <v>Market share</v>
      </c>
      <c r="C23" s="194" t="str">
        <f t="shared" si="8"/>
        <v>%</v>
      </c>
      <c r="D23" s="194"/>
      <c r="E23" s="194">
        <f>E22</f>
        <v>2030</v>
      </c>
      <c r="F23" s="194" t="str">
        <f t="shared" si="7"/>
        <v>max</v>
      </c>
      <c r="G23" s="194">
        <f t="shared" si="6"/>
        <v>5</v>
      </c>
      <c r="J23" s="191" t="s">
        <v>421</v>
      </c>
      <c r="K23" s="191" t="s">
        <v>422</v>
      </c>
      <c r="R23" s="187"/>
      <c r="S23" s="187"/>
      <c r="T23" s="187"/>
      <c r="U23" s="187"/>
      <c r="V23" s="183">
        <f>'Technology Factsheet'!$M$21</f>
        <v>22</v>
      </c>
    </row>
    <row r="24" spans="1:33" x14ac:dyDescent="0.25">
      <c r="A24" s="188">
        <f t="shared" si="5"/>
        <v>22</v>
      </c>
      <c r="B24" s="189" t="str">
        <f t="shared" si="8"/>
        <v>Market share</v>
      </c>
      <c r="C24" s="194" t="str">
        <f t="shared" si="8"/>
        <v>%</v>
      </c>
      <c r="D24" s="194"/>
      <c r="E24" s="194">
        <f>E23</f>
        <v>2030</v>
      </c>
      <c r="F24" s="194" t="str">
        <f t="shared" si="7"/>
        <v>main</v>
      </c>
      <c r="G24" s="194">
        <f t="shared" si="6"/>
        <v>5</v>
      </c>
      <c r="J24" s="191" t="s">
        <v>421</v>
      </c>
      <c r="K24" s="191" t="s">
        <v>422</v>
      </c>
      <c r="R24" s="187"/>
      <c r="S24" s="187"/>
      <c r="T24" s="187"/>
      <c r="U24" s="187"/>
      <c r="V24" s="183">
        <f>'Technology Factsheet'!$O$21</f>
        <v>22</v>
      </c>
    </row>
    <row r="25" spans="1:33" x14ac:dyDescent="0.25">
      <c r="A25" s="188">
        <f t="shared" si="5"/>
        <v>23</v>
      </c>
      <c r="B25" s="189" t="str">
        <f t="shared" si="8"/>
        <v>Market share</v>
      </c>
      <c r="C25" s="194" t="str">
        <f t="shared" si="8"/>
        <v>%</v>
      </c>
      <c r="D25" s="194"/>
      <c r="E25" s="194">
        <f>$Q$41</f>
        <v>2050</v>
      </c>
      <c r="F25" s="194" t="str">
        <f t="shared" si="7"/>
        <v>min</v>
      </c>
      <c r="G25" s="194">
        <f t="shared" si="6"/>
        <v>22</v>
      </c>
      <c r="J25" s="191" t="s">
        <v>421</v>
      </c>
      <c r="K25" s="191" t="s">
        <v>422</v>
      </c>
      <c r="R25" s="187"/>
      <c r="S25" s="187"/>
      <c r="T25" s="187"/>
      <c r="U25" s="187"/>
      <c r="V25" s="183" cm="1">
        <f t="array" ref="V25:X25">'Technology Factsheet'!$M$20:$O$20</f>
        <v>22</v>
      </c>
      <c r="W25" s="183">
        <v>0</v>
      </c>
      <c r="X25" s="183">
        <v>0</v>
      </c>
    </row>
    <row r="26" spans="1:33" x14ac:dyDescent="0.25">
      <c r="A26" s="188">
        <f t="shared" si="5"/>
        <v>24</v>
      </c>
      <c r="B26" s="189" t="str">
        <f t="shared" si="8"/>
        <v>Market share</v>
      </c>
      <c r="C26" s="194" t="str">
        <f t="shared" si="8"/>
        <v>%</v>
      </c>
      <c r="D26" s="194"/>
      <c r="E26" s="194">
        <f>E25</f>
        <v>2050</v>
      </c>
      <c r="F26" s="194" t="str">
        <f t="shared" si="7"/>
        <v>max</v>
      </c>
      <c r="G26" s="194">
        <f t="shared" si="6"/>
        <v>22</v>
      </c>
      <c r="J26" s="191" t="s">
        <v>421</v>
      </c>
      <c r="K26" s="191" t="s">
        <v>422</v>
      </c>
      <c r="Q26" s="183" t="str" cm="1">
        <f t="array" ref="Q26:R26">'Technology Factsheet'!B22:C22</f>
        <v>Capacity utlization factor</v>
      </c>
      <c r="R26" s="187">
        <v>0</v>
      </c>
      <c r="S26" s="187"/>
      <c r="T26" s="187"/>
      <c r="U26" s="187"/>
      <c r="V26" s="196" cm="1">
        <f t="array" ref="V26:AG26">'Technology Factsheet'!D22:O22</f>
        <v>1</v>
      </c>
      <c r="W26" s="183">
        <v>0</v>
      </c>
      <c r="X26" s="183">
        <v>0</v>
      </c>
      <c r="Y26" s="183">
        <v>0</v>
      </c>
      <c r="Z26" s="183">
        <v>0</v>
      </c>
      <c r="AA26" s="183">
        <v>0</v>
      </c>
      <c r="AB26" s="183">
        <v>0</v>
      </c>
      <c r="AC26" s="183">
        <v>0</v>
      </c>
      <c r="AD26" s="183">
        <v>0</v>
      </c>
      <c r="AE26" s="183">
        <v>0</v>
      </c>
      <c r="AF26" s="183">
        <v>0</v>
      </c>
      <c r="AG26" s="183">
        <v>0</v>
      </c>
    </row>
    <row r="27" spans="1:33" x14ac:dyDescent="0.25">
      <c r="A27" s="188">
        <f t="shared" si="5"/>
        <v>25</v>
      </c>
      <c r="B27" s="189" t="str">
        <f t="shared" si="8"/>
        <v>Market share</v>
      </c>
      <c r="C27" s="194" t="str">
        <f t="shared" si="8"/>
        <v>%</v>
      </c>
      <c r="D27" s="194"/>
      <c r="E27" s="194">
        <f>E26</f>
        <v>2050</v>
      </c>
      <c r="F27" s="194" t="str">
        <f t="shared" si="7"/>
        <v>main</v>
      </c>
      <c r="G27" s="194">
        <f t="shared" si="6"/>
        <v>22</v>
      </c>
      <c r="J27" s="191" t="s">
        <v>421</v>
      </c>
      <c r="K27" s="191" t="s">
        <v>422</v>
      </c>
      <c r="Q27" s="183" t="str" cm="1">
        <f t="array" ref="Q27:R27">'Technology Factsheet'!B23:C23</f>
        <v>Full-load running hours per year</v>
      </c>
      <c r="R27" s="187">
        <v>0</v>
      </c>
      <c r="S27" s="187"/>
      <c r="T27" s="187"/>
      <c r="U27" s="187"/>
      <c r="V27" s="196" cm="1">
        <f t="array" ref="V27:AG27">'Technology Factsheet'!D23:O23</f>
        <v>6000</v>
      </c>
      <c r="W27" s="183">
        <v>0</v>
      </c>
      <c r="X27" s="183">
        <v>0</v>
      </c>
      <c r="Y27" s="183">
        <v>0</v>
      </c>
      <c r="Z27" s="183">
        <v>0</v>
      </c>
      <c r="AA27" s="183">
        <v>0</v>
      </c>
      <c r="AB27" s="183">
        <v>0</v>
      </c>
      <c r="AC27" s="183">
        <v>0</v>
      </c>
      <c r="AD27" s="183">
        <v>0</v>
      </c>
      <c r="AE27" s="183">
        <v>0</v>
      </c>
      <c r="AF27" s="183">
        <v>0</v>
      </c>
      <c r="AG27" s="183">
        <v>0</v>
      </c>
    </row>
    <row r="28" spans="1:33" x14ac:dyDescent="0.25">
      <c r="A28" s="188">
        <f t="shared" si="5"/>
        <v>26</v>
      </c>
      <c r="B28" s="189" t="str">
        <f>Q26</f>
        <v>Capacity utlization factor</v>
      </c>
      <c r="C28" s="194"/>
      <c r="D28" s="194"/>
      <c r="E28" s="194"/>
      <c r="F28" s="194"/>
      <c r="G28" s="194">
        <f t="shared" si="6"/>
        <v>1</v>
      </c>
      <c r="J28" s="191" t="s">
        <v>421</v>
      </c>
      <c r="K28" s="191" t="s">
        <v>422</v>
      </c>
      <c r="Q28" s="183" t="str" cm="1">
        <f t="array" ref="Q28:R28">'Technology Factsheet'!B24:C24</f>
        <v>Unit of Activity</v>
      </c>
      <c r="R28" s="187">
        <v>0</v>
      </c>
      <c r="S28" s="187"/>
      <c r="T28" s="187"/>
      <c r="U28" s="187"/>
    </row>
    <row r="29" spans="1:33" x14ac:dyDescent="0.25">
      <c r="A29" s="188">
        <f t="shared" si="5"/>
        <v>27</v>
      </c>
      <c r="B29" s="189" t="str">
        <f t="shared" ref="B29:B30" si="9">Q27</f>
        <v>Full-load running hours per year</v>
      </c>
      <c r="C29" s="194"/>
      <c r="D29" s="194"/>
      <c r="E29" s="194"/>
      <c r="F29" s="194"/>
      <c r="G29" s="194">
        <f t="shared" si="6"/>
        <v>6000</v>
      </c>
      <c r="J29" s="191" t="s">
        <v>421</v>
      </c>
      <c r="K29" s="191" t="s">
        <v>422</v>
      </c>
      <c r="Q29" s="183" t="str">
        <f>'Technology Factsheet'!D24</f>
        <v>MWh/year</v>
      </c>
      <c r="R29" s="187"/>
      <c r="S29" s="187"/>
      <c r="T29" s="187"/>
      <c r="U29" s="187"/>
      <c r="V29" s="196" t="str" cm="1">
        <f t="array" ref="V29:AF29">'Technology Factsheet'!E24:O24</f>
        <v xml:space="preserve"> </v>
      </c>
      <c r="W29" s="183">
        <v>0</v>
      </c>
      <c r="X29" s="183">
        <v>0</v>
      </c>
      <c r="Y29" s="183">
        <v>0</v>
      </c>
      <c r="Z29" s="183">
        <v>0</v>
      </c>
      <c r="AA29" s="183">
        <v>0</v>
      </c>
      <c r="AB29" s="183">
        <v>0</v>
      </c>
      <c r="AC29" s="183">
        <v>0</v>
      </c>
      <c r="AD29" s="183">
        <v>0</v>
      </c>
      <c r="AE29" s="183">
        <v>0</v>
      </c>
      <c r="AF29" s="183">
        <v>0</v>
      </c>
    </row>
    <row r="30" spans="1:33" x14ac:dyDescent="0.25">
      <c r="A30" s="188">
        <f t="shared" si="5"/>
        <v>28</v>
      </c>
      <c r="B30" s="189" t="str">
        <f t="shared" si="9"/>
        <v>Unit of Activity</v>
      </c>
      <c r="C30" s="194" t="str">
        <f>Q29</f>
        <v>MWh/year</v>
      </c>
      <c r="D30" s="194"/>
      <c r="E30" s="194"/>
      <c r="F30" s="194"/>
      <c r="G30" s="194" t="str">
        <f>IF(OR(V29="Min", V29="Max", V29=0),"-",V29)</f>
        <v xml:space="preserve"> </v>
      </c>
      <c r="J30" s="191" t="s">
        <v>421</v>
      </c>
      <c r="K30" s="191" t="s">
        <v>422</v>
      </c>
      <c r="Q30" s="183" t="str" cm="1">
        <f t="array" ref="Q30:R30">'Technology Factsheet'!B25:C25</f>
        <v>Technical lifetime (years)</v>
      </c>
      <c r="R30" s="187">
        <v>0</v>
      </c>
      <c r="S30" s="187"/>
      <c r="T30" s="187"/>
      <c r="U30" s="187"/>
      <c r="V30" s="196" cm="1">
        <f t="array" ref="V30:AG30">'Technology Factsheet'!D25:O25</f>
        <v>30</v>
      </c>
      <c r="W30" s="183">
        <v>0</v>
      </c>
      <c r="X30" s="183">
        <v>0</v>
      </c>
      <c r="Y30" s="183">
        <v>0</v>
      </c>
      <c r="Z30" s="183">
        <v>0</v>
      </c>
      <c r="AA30" s="183">
        <v>0</v>
      </c>
      <c r="AB30" s="183">
        <v>0</v>
      </c>
      <c r="AC30" s="183">
        <v>0</v>
      </c>
      <c r="AD30" s="183">
        <v>0</v>
      </c>
      <c r="AE30" s="183">
        <v>0</v>
      </c>
      <c r="AF30" s="183">
        <v>0</v>
      </c>
      <c r="AG30" s="183">
        <v>0</v>
      </c>
    </row>
    <row r="31" spans="1:33" x14ac:dyDescent="0.25">
      <c r="A31" s="188">
        <f t="shared" si="5"/>
        <v>29</v>
      </c>
      <c r="B31" s="189" t="str">
        <f>Q30</f>
        <v>Technical lifetime (years)</v>
      </c>
      <c r="C31" s="194"/>
      <c r="D31" s="194"/>
      <c r="E31" s="194"/>
      <c r="F31" s="194"/>
      <c r="G31" s="194">
        <f>IF(OR(V30="Min", V30="Max", V30=0),"-",V30)</f>
        <v>30</v>
      </c>
      <c r="J31" s="191" t="s">
        <v>421</v>
      </c>
      <c r="K31" s="191" t="s">
        <v>422</v>
      </c>
      <c r="Q31" s="183" t="str" cm="1">
        <f t="array" ref="Q31:R31">'Technology Factsheet'!B26:C26</f>
        <v>Progress ratio</v>
      </c>
      <c r="R31" s="187">
        <v>0</v>
      </c>
      <c r="S31" s="187"/>
      <c r="T31" s="187"/>
      <c r="U31" s="187"/>
      <c r="V31" s="196" t="str" cm="1">
        <f t="array" ref="V31:AG31">'Technology Factsheet'!D26:O26</f>
        <v>n/a</v>
      </c>
      <c r="W31" s="183">
        <v>0</v>
      </c>
      <c r="X31" s="183">
        <v>0</v>
      </c>
      <c r="Y31" s="183">
        <v>0</v>
      </c>
      <c r="Z31" s="183">
        <v>0</v>
      </c>
      <c r="AA31" s="183">
        <v>0</v>
      </c>
      <c r="AB31" s="183">
        <v>0</v>
      </c>
      <c r="AC31" s="183">
        <v>0</v>
      </c>
      <c r="AD31" s="183">
        <v>0</v>
      </c>
      <c r="AE31" s="183">
        <v>0</v>
      </c>
      <c r="AF31" s="183">
        <v>0</v>
      </c>
      <c r="AG31" s="183">
        <v>0</v>
      </c>
    </row>
    <row r="32" spans="1:33" x14ac:dyDescent="0.25">
      <c r="A32" s="188">
        <f t="shared" si="5"/>
        <v>30</v>
      </c>
      <c r="B32" s="189" t="str">
        <f>Q31</f>
        <v>Progress ratio</v>
      </c>
      <c r="C32" s="194"/>
      <c r="D32" s="194"/>
      <c r="E32" s="194"/>
      <c r="F32" s="194"/>
      <c r="G32" s="194" t="str">
        <f t="shared" ref="G32:G33" si="10">IF(OR(V31="Min", V31="Max", V31=0),"-",V31)</f>
        <v>n/a</v>
      </c>
      <c r="J32" s="191" t="s">
        <v>421</v>
      </c>
      <c r="K32" s="191" t="s">
        <v>422</v>
      </c>
      <c r="Q32" s="183" t="str" cm="1">
        <f t="array" ref="Q32:R32">'Technology Factsheet'!B27:C27</f>
        <v>Hourly profile</v>
      </c>
      <c r="R32" s="187">
        <v>0</v>
      </c>
      <c r="S32" s="187"/>
      <c r="T32" s="187"/>
      <c r="U32" s="187"/>
      <c r="V32" s="183" t="str" cm="1">
        <f t="array" ref="V32:AG32">'Technology Factsheet'!D27:O27</f>
        <v>Yes</v>
      </c>
      <c r="W32" s="183">
        <v>0</v>
      </c>
      <c r="X32" s="183">
        <v>0</v>
      </c>
      <c r="Y32" s="183">
        <v>0</v>
      </c>
      <c r="Z32" s="183">
        <v>0</v>
      </c>
      <c r="AA32" s="183">
        <v>0</v>
      </c>
      <c r="AB32" s="183">
        <v>0</v>
      </c>
      <c r="AC32" s="183">
        <v>0</v>
      </c>
      <c r="AD32" s="183">
        <v>0</v>
      </c>
      <c r="AE32" s="183">
        <v>0</v>
      </c>
      <c r="AF32" s="183">
        <v>0</v>
      </c>
      <c r="AG32" s="183">
        <v>0</v>
      </c>
    </row>
    <row r="33" spans="1:24" x14ac:dyDescent="0.25">
      <c r="A33" s="188">
        <f t="shared" si="5"/>
        <v>31</v>
      </c>
      <c r="B33" s="189" t="str">
        <f>Q32</f>
        <v>Hourly profile</v>
      </c>
      <c r="C33" s="194"/>
      <c r="D33" s="194"/>
      <c r="E33" s="194"/>
      <c r="F33" s="194"/>
      <c r="G33" s="194" t="str">
        <f t="shared" si="10"/>
        <v>Yes</v>
      </c>
      <c r="J33" s="191" t="s">
        <v>421</v>
      </c>
      <c r="K33" s="191" t="s">
        <v>422</v>
      </c>
      <c r="R33" s="187"/>
      <c r="S33" s="187"/>
      <c r="T33" s="187"/>
      <c r="U33" s="187"/>
    </row>
    <row r="34" spans="1:24" x14ac:dyDescent="0.25">
      <c r="A34" s="188">
        <f t="shared" si="5"/>
        <v>32</v>
      </c>
      <c r="B34" s="188" t="str">
        <f>Q42</f>
        <v>Investment costs</v>
      </c>
      <c r="C34" s="188" t="str">
        <f>Q45</f>
        <v>€ / kW</v>
      </c>
      <c r="D34" s="188"/>
      <c r="E34" s="194">
        <f>$Q$38</f>
        <v>2020</v>
      </c>
      <c r="F34" s="194" t="s">
        <v>428</v>
      </c>
      <c r="G34" s="188">
        <f t="shared" ref="G34:G97" si="11">IF(OR(V39="Min", V39="Max", V39=0),"-",V39)</f>
        <v>1041</v>
      </c>
      <c r="J34" s="191" t="s">
        <v>421</v>
      </c>
      <c r="K34" s="191" t="s">
        <v>422</v>
      </c>
      <c r="R34" s="187"/>
      <c r="S34" s="187"/>
      <c r="T34" s="187"/>
      <c r="U34" s="187"/>
    </row>
    <row r="35" spans="1:24" x14ac:dyDescent="0.25">
      <c r="A35" s="188">
        <f t="shared" si="5"/>
        <v>33</v>
      </c>
      <c r="B35" s="188" t="str">
        <f>B34</f>
        <v>Investment costs</v>
      </c>
      <c r="C35" s="188" t="str">
        <f>C34</f>
        <v>€ / kW</v>
      </c>
      <c r="D35" s="188"/>
      <c r="E35" s="194">
        <f>E34</f>
        <v>2020</v>
      </c>
      <c r="F35" s="194" t="s">
        <v>429</v>
      </c>
      <c r="G35" s="188">
        <f t="shared" si="11"/>
        <v>1614</v>
      </c>
      <c r="J35" s="191" t="s">
        <v>421</v>
      </c>
      <c r="K35" s="191" t="s">
        <v>422</v>
      </c>
      <c r="R35" s="187"/>
      <c r="S35" s="187"/>
      <c r="T35" s="187"/>
      <c r="U35" s="187"/>
    </row>
    <row r="36" spans="1:24" x14ac:dyDescent="0.25">
      <c r="A36" s="188">
        <f t="shared" si="5"/>
        <v>34</v>
      </c>
      <c r="B36" s="188" t="str">
        <f t="shared" ref="B36:C42" si="12">B35</f>
        <v>Investment costs</v>
      </c>
      <c r="C36" s="188" t="str">
        <f t="shared" si="12"/>
        <v>€ / kW</v>
      </c>
      <c r="D36" s="188"/>
      <c r="E36" s="194">
        <f>E35</f>
        <v>2020</v>
      </c>
      <c r="F36" s="194" t="s">
        <v>430</v>
      </c>
      <c r="G36" s="188">
        <f t="shared" si="11"/>
        <v>1325</v>
      </c>
      <c r="J36" s="191" t="s">
        <v>421</v>
      </c>
      <c r="K36" s="191" t="s">
        <v>422</v>
      </c>
      <c r="R36" s="187"/>
      <c r="S36" s="187"/>
      <c r="T36" s="187"/>
      <c r="U36" s="187"/>
    </row>
    <row r="37" spans="1:24" x14ac:dyDescent="0.25">
      <c r="A37" s="188">
        <f t="shared" si="5"/>
        <v>35</v>
      </c>
      <c r="B37" s="188" t="str">
        <f t="shared" si="12"/>
        <v>Investment costs</v>
      </c>
      <c r="C37" s="188" t="str">
        <f t="shared" si="12"/>
        <v>€ / kW</v>
      </c>
      <c r="D37" s="188"/>
      <c r="E37" s="194">
        <f>$Q$40</f>
        <v>2030</v>
      </c>
      <c r="F37" s="194" t="str">
        <f>F34</f>
        <v>min</v>
      </c>
      <c r="G37" s="188" t="str">
        <f t="shared" si="11"/>
        <v>-</v>
      </c>
      <c r="J37" s="191" t="s">
        <v>421</v>
      </c>
      <c r="K37" s="191" t="s">
        <v>422</v>
      </c>
      <c r="R37" s="187"/>
      <c r="S37" s="187"/>
      <c r="T37" s="187"/>
      <c r="U37" s="187"/>
    </row>
    <row r="38" spans="1:24" x14ac:dyDescent="0.25">
      <c r="A38" s="188">
        <f t="shared" si="5"/>
        <v>36</v>
      </c>
      <c r="B38" s="188" t="str">
        <f t="shared" si="12"/>
        <v>Investment costs</v>
      </c>
      <c r="C38" s="188" t="str">
        <f t="shared" si="12"/>
        <v>€ / kW</v>
      </c>
      <c r="D38" s="188"/>
      <c r="E38" s="194">
        <f>E37</f>
        <v>2030</v>
      </c>
      <c r="F38" s="194" t="str">
        <f t="shared" ref="F38:F42" si="13">F35</f>
        <v>max</v>
      </c>
      <c r="G38" s="188" t="str">
        <f t="shared" si="11"/>
        <v>-</v>
      </c>
      <c r="J38" s="191" t="s">
        <v>421</v>
      </c>
      <c r="K38" s="191" t="s">
        <v>422</v>
      </c>
      <c r="P38" s="197" t="s">
        <v>431</v>
      </c>
      <c r="Q38" s="183">
        <v>2020</v>
      </c>
      <c r="R38" s="187"/>
      <c r="S38" s="187"/>
      <c r="T38" s="187"/>
      <c r="U38" s="187"/>
    </row>
    <row r="39" spans="1:24" x14ac:dyDescent="0.25">
      <c r="A39" s="188">
        <f t="shared" si="5"/>
        <v>37</v>
      </c>
      <c r="B39" s="188" t="str">
        <f t="shared" si="12"/>
        <v>Investment costs</v>
      </c>
      <c r="C39" s="188" t="str">
        <f t="shared" si="12"/>
        <v>€ / kW</v>
      </c>
      <c r="D39" s="188"/>
      <c r="E39" s="194">
        <f>E38</f>
        <v>2030</v>
      </c>
      <c r="F39" s="194" t="str">
        <f t="shared" si="13"/>
        <v>main</v>
      </c>
      <c r="G39" s="188" t="str">
        <f t="shared" si="11"/>
        <v>-</v>
      </c>
      <c r="J39" s="191" t="s">
        <v>421</v>
      </c>
      <c r="K39" s="191" t="s">
        <v>422</v>
      </c>
      <c r="P39" s="187" t="s">
        <v>323</v>
      </c>
      <c r="Q39" s="183" t="str" cm="1">
        <f t="array" ref="Q39:S39">'Technology Factsheet'!G31:I31</f>
        <v>Current</v>
      </c>
      <c r="R39" s="183">
        <v>0</v>
      </c>
      <c r="S39" s="183">
        <v>0</v>
      </c>
      <c r="U39" s="187" t="s">
        <v>323</v>
      </c>
      <c r="V39" s="183">
        <f>'Technology Factsheet'!G33</f>
        <v>1041</v>
      </c>
    </row>
    <row r="40" spans="1:24" x14ac:dyDescent="0.25">
      <c r="A40" s="188">
        <f t="shared" si="5"/>
        <v>38</v>
      </c>
      <c r="B40" s="188" t="str">
        <f t="shared" si="12"/>
        <v>Investment costs</v>
      </c>
      <c r="C40" s="188" t="str">
        <f t="shared" si="12"/>
        <v>€ / kW</v>
      </c>
      <c r="D40" s="188"/>
      <c r="E40" s="194">
        <f>$Q$41</f>
        <v>2050</v>
      </c>
      <c r="F40" s="194" t="str">
        <f t="shared" si="13"/>
        <v>min</v>
      </c>
      <c r="G40" s="188" t="str">
        <f t="shared" si="11"/>
        <v>-</v>
      </c>
      <c r="J40" s="191" t="s">
        <v>421</v>
      </c>
      <c r="K40" s="191" t="s">
        <v>422</v>
      </c>
      <c r="Q40" s="183" cm="1">
        <f t="array" ref="Q40:S40">'Technology Factsheet'!J31:L31</f>
        <v>2030</v>
      </c>
      <c r="R40" s="183">
        <v>0</v>
      </c>
      <c r="S40" s="183">
        <v>0</v>
      </c>
      <c r="V40" s="183">
        <f>'Technology Factsheet'!I33</f>
        <v>1614</v>
      </c>
    </row>
    <row r="41" spans="1:24" x14ac:dyDescent="0.25">
      <c r="A41" s="188">
        <f t="shared" si="5"/>
        <v>39</v>
      </c>
      <c r="B41" s="188" t="str">
        <f t="shared" si="12"/>
        <v>Investment costs</v>
      </c>
      <c r="C41" s="188" t="str">
        <f t="shared" si="12"/>
        <v>€ / kW</v>
      </c>
      <c r="D41" s="188"/>
      <c r="E41" s="194">
        <f>E40</f>
        <v>2050</v>
      </c>
      <c r="F41" s="194" t="str">
        <f t="shared" si="13"/>
        <v>max</v>
      </c>
      <c r="G41" s="188" t="str">
        <f t="shared" si="11"/>
        <v>-</v>
      </c>
      <c r="J41" s="191" t="s">
        <v>421</v>
      </c>
      <c r="K41" s="191" t="s">
        <v>422</v>
      </c>
      <c r="Q41" s="183" cm="1">
        <f t="array" ref="Q41:S41">'Technology Factsheet'!M31:O31</f>
        <v>2050</v>
      </c>
      <c r="R41" s="183">
        <v>0</v>
      </c>
      <c r="S41" s="183">
        <v>0</v>
      </c>
      <c r="V41" s="183" cm="1">
        <f t="array" ref="V41:X41">'Technology Factsheet'!G32:I32</f>
        <v>1325</v>
      </c>
      <c r="W41" s="183">
        <v>0</v>
      </c>
      <c r="X41" s="183">
        <v>0</v>
      </c>
    </row>
    <row r="42" spans="1:24" x14ac:dyDescent="0.25">
      <c r="A42" s="188">
        <f t="shared" si="5"/>
        <v>40</v>
      </c>
      <c r="B42" s="188" t="str">
        <f t="shared" si="12"/>
        <v>Investment costs</v>
      </c>
      <c r="C42" s="188" t="str">
        <f t="shared" si="12"/>
        <v>€ / kW</v>
      </c>
      <c r="D42" s="188"/>
      <c r="E42" s="194">
        <f>E41</f>
        <v>2050</v>
      </c>
      <c r="F42" s="194" t="str">
        <f t="shared" si="13"/>
        <v>main</v>
      </c>
      <c r="G42" s="188" t="str">
        <f t="shared" si="11"/>
        <v>-</v>
      </c>
      <c r="J42" s="191" t="s">
        <v>421</v>
      </c>
      <c r="K42" s="191" t="s">
        <v>422</v>
      </c>
      <c r="Q42" s="183" t="str" cm="1">
        <f t="array" ref="Q42:R44">'Technology Factsheet'!B31:C33</f>
        <v>Investment costs</v>
      </c>
      <c r="R42" s="183">
        <v>0</v>
      </c>
      <c r="V42" s="183" t="str">
        <f>'Technology Factsheet'!J33</f>
        <v>Min</v>
      </c>
    </row>
    <row r="43" spans="1:24" x14ac:dyDescent="0.25">
      <c r="A43" s="188">
        <f t="shared" si="5"/>
        <v>41</v>
      </c>
      <c r="B43" s="188" t="str">
        <f>Q47</f>
        <v>Other costs per year</v>
      </c>
      <c r="C43" s="188" t="str">
        <f>Q49</f>
        <v>€ / kW</v>
      </c>
      <c r="D43" s="188"/>
      <c r="E43" s="194">
        <f>$Q$38</f>
        <v>2020</v>
      </c>
      <c r="F43" s="194" t="s">
        <v>428</v>
      </c>
      <c r="G43" s="188" t="str">
        <f t="shared" si="11"/>
        <v>-</v>
      </c>
      <c r="J43" s="191" t="s">
        <v>421</v>
      </c>
      <c r="K43" s="191" t="s">
        <v>422</v>
      </c>
      <c r="Q43" s="183">
        <v>0</v>
      </c>
      <c r="R43" s="183">
        <v>0</v>
      </c>
      <c r="V43" s="183" t="str">
        <f>'Technology Factsheet'!L33</f>
        <v>Max</v>
      </c>
    </row>
    <row r="44" spans="1:24" x14ac:dyDescent="0.25">
      <c r="A44" s="188">
        <f t="shared" si="5"/>
        <v>42</v>
      </c>
      <c r="B44" s="188" t="str">
        <f>B43</f>
        <v>Other costs per year</v>
      </c>
      <c r="C44" s="188" t="str">
        <f>C43</f>
        <v>€ / kW</v>
      </c>
      <c r="D44" s="188"/>
      <c r="E44" s="194">
        <f>E43</f>
        <v>2020</v>
      </c>
      <c r="F44" s="194" t="s">
        <v>429</v>
      </c>
      <c r="G44" s="188" t="str">
        <f t="shared" si="11"/>
        <v>-</v>
      </c>
      <c r="J44" s="191" t="s">
        <v>421</v>
      </c>
      <c r="K44" s="191" t="s">
        <v>422</v>
      </c>
      <c r="Q44" s="183">
        <v>0</v>
      </c>
      <c r="R44" s="183">
        <v>0</v>
      </c>
      <c r="V44" s="183" cm="1">
        <f t="array" ref="V44:X44">'Technology Factsheet'!J32:L32</f>
        <v>0</v>
      </c>
      <c r="W44" s="183">
        <v>0</v>
      </c>
      <c r="X44" s="183">
        <v>0</v>
      </c>
    </row>
    <row r="45" spans="1:24" x14ac:dyDescent="0.25">
      <c r="A45" s="188">
        <f t="shared" si="5"/>
        <v>43</v>
      </c>
      <c r="B45" s="188" t="str">
        <f t="shared" ref="B45:C51" si="14">B44</f>
        <v>Other costs per year</v>
      </c>
      <c r="C45" s="188" t="str">
        <f t="shared" si="14"/>
        <v>€ / kW</v>
      </c>
      <c r="D45" s="188"/>
      <c r="E45" s="194">
        <f>E44</f>
        <v>2020</v>
      </c>
      <c r="F45" s="194" t="s">
        <v>430</v>
      </c>
      <c r="G45" s="188" t="str">
        <f t="shared" si="11"/>
        <v>-</v>
      </c>
      <c r="J45" s="191" t="s">
        <v>421</v>
      </c>
      <c r="K45" s="191" t="s">
        <v>422</v>
      </c>
      <c r="Q45" s="183" t="str" cm="1">
        <f t="array" ref="Q45:R46">'Technology Factsheet'!D32:D33&amp;'Technology Factsheet'!E32:F33</f>
        <v>€ / kW</v>
      </c>
      <c r="R45" s="183" t="str">
        <v xml:space="preserve">€ / </v>
      </c>
      <c r="V45" s="183" t="str">
        <f>'Technology Factsheet'!M33</f>
        <v>Min</v>
      </c>
    </row>
    <row r="46" spans="1:24" x14ac:dyDescent="0.25">
      <c r="A46" s="188">
        <f t="shared" si="5"/>
        <v>44</v>
      </c>
      <c r="B46" s="188" t="str">
        <f t="shared" si="14"/>
        <v>Other costs per year</v>
      </c>
      <c r="C46" s="188" t="str">
        <f t="shared" si="14"/>
        <v>€ / kW</v>
      </c>
      <c r="D46" s="188"/>
      <c r="E46" s="194">
        <f>$Q$40</f>
        <v>2030</v>
      </c>
      <c r="F46" s="194" t="str">
        <f>F43</f>
        <v>min</v>
      </c>
      <c r="G46" s="188" t="str">
        <f t="shared" si="11"/>
        <v>-</v>
      </c>
      <c r="J46" s="191" t="s">
        <v>421</v>
      </c>
      <c r="K46" s="191" t="s">
        <v>422</v>
      </c>
      <c r="Q46" s="183" t="str">
        <v/>
      </c>
      <c r="R46" s="183" t="str">
        <v/>
      </c>
      <c r="V46" s="183" t="str">
        <f>'Technology Factsheet'!O33</f>
        <v>Max</v>
      </c>
    </row>
    <row r="47" spans="1:24" x14ac:dyDescent="0.25">
      <c r="A47" s="188">
        <f t="shared" si="5"/>
        <v>45</v>
      </c>
      <c r="B47" s="188" t="str">
        <f t="shared" si="14"/>
        <v>Other costs per year</v>
      </c>
      <c r="C47" s="188" t="str">
        <f t="shared" si="14"/>
        <v>€ / kW</v>
      </c>
      <c r="D47" s="188"/>
      <c r="E47" s="194">
        <f>E46</f>
        <v>2030</v>
      </c>
      <c r="F47" s="194" t="str">
        <f t="shared" ref="F47:F51" si="15">F44</f>
        <v>max</v>
      </c>
      <c r="G47" s="188" t="str">
        <f t="shared" si="11"/>
        <v>-</v>
      </c>
      <c r="J47" s="191" t="s">
        <v>421</v>
      </c>
      <c r="K47" s="191" t="s">
        <v>422</v>
      </c>
      <c r="Q47" s="183" t="str" cm="1">
        <f t="array" ref="Q47:R48">'Technology Factsheet'!B34:C35</f>
        <v>Other costs per year</v>
      </c>
      <c r="R47" s="183">
        <v>0</v>
      </c>
      <c r="V47" s="183" cm="1">
        <f t="array" ref="V47:X47">'Technology Factsheet'!M32:O32</f>
        <v>0</v>
      </c>
      <c r="W47" s="183">
        <v>0</v>
      </c>
      <c r="X47" s="183">
        <v>0</v>
      </c>
    </row>
    <row r="48" spans="1:24" x14ac:dyDescent="0.25">
      <c r="A48" s="188">
        <f t="shared" si="5"/>
        <v>46</v>
      </c>
      <c r="B48" s="188" t="str">
        <f t="shared" si="14"/>
        <v>Other costs per year</v>
      </c>
      <c r="C48" s="188" t="str">
        <f t="shared" si="14"/>
        <v>€ / kW</v>
      </c>
      <c r="D48" s="188"/>
      <c r="E48" s="194">
        <f>E47</f>
        <v>2030</v>
      </c>
      <c r="F48" s="194" t="str">
        <f t="shared" si="15"/>
        <v>main</v>
      </c>
      <c r="G48" s="188" t="str">
        <f t="shared" si="11"/>
        <v>-</v>
      </c>
      <c r="J48" s="191" t="s">
        <v>421</v>
      </c>
      <c r="K48" s="191" t="s">
        <v>422</v>
      </c>
      <c r="Q48" s="183">
        <v>0</v>
      </c>
      <c r="R48" s="183">
        <v>0</v>
      </c>
      <c r="V48" s="183" t="str">
        <f>'Technology Factsheet'!G35</f>
        <v>Min</v>
      </c>
    </row>
    <row r="49" spans="1:24" x14ac:dyDescent="0.25">
      <c r="A49" s="188">
        <f t="shared" si="5"/>
        <v>47</v>
      </c>
      <c r="B49" s="188" t="str">
        <f t="shared" si="14"/>
        <v>Other costs per year</v>
      </c>
      <c r="C49" s="188" t="str">
        <f t="shared" si="14"/>
        <v>€ / kW</v>
      </c>
      <c r="D49" s="188"/>
      <c r="E49" s="194">
        <f>$Q$41</f>
        <v>2050</v>
      </c>
      <c r="F49" s="194" t="str">
        <f t="shared" si="15"/>
        <v>min</v>
      </c>
      <c r="G49" s="188" t="str">
        <f t="shared" si="11"/>
        <v>-</v>
      </c>
      <c r="J49" s="191" t="s">
        <v>421</v>
      </c>
      <c r="K49" s="191" t="s">
        <v>422</v>
      </c>
      <c r="Q49" s="183" t="str" cm="1">
        <f t="array" ref="Q49:R50">'Technology Factsheet'!D34:D35&amp;'Technology Factsheet'!E34:F35</f>
        <v>€ / kW</v>
      </c>
      <c r="R49" s="183" t="str">
        <v xml:space="preserve">€ / </v>
      </c>
      <c r="V49" s="183" t="str">
        <f>'Technology Factsheet'!I35</f>
        <v>Max</v>
      </c>
    </row>
    <row r="50" spans="1:24" x14ac:dyDescent="0.25">
      <c r="A50" s="188">
        <f t="shared" si="5"/>
        <v>48</v>
      </c>
      <c r="B50" s="188" t="str">
        <f t="shared" si="14"/>
        <v>Other costs per year</v>
      </c>
      <c r="C50" s="188" t="str">
        <f t="shared" si="14"/>
        <v>€ / kW</v>
      </c>
      <c r="D50" s="188"/>
      <c r="E50" s="194">
        <f>E49</f>
        <v>2050</v>
      </c>
      <c r="F50" s="194" t="str">
        <f t="shared" si="15"/>
        <v>max</v>
      </c>
      <c r="G50" s="188" t="str">
        <f t="shared" si="11"/>
        <v>-</v>
      </c>
      <c r="J50" s="191" t="s">
        <v>421</v>
      </c>
      <c r="K50" s="191" t="s">
        <v>422</v>
      </c>
      <c r="Q50" s="183" t="str">
        <v/>
      </c>
      <c r="R50" s="183" t="str">
        <v/>
      </c>
      <c r="V50" s="183" cm="1">
        <f t="array" ref="V50:X50">'Technology Factsheet'!G34:I34</f>
        <v>0</v>
      </c>
      <c r="W50" s="183">
        <v>0</v>
      </c>
      <c r="X50" s="183">
        <v>0</v>
      </c>
    </row>
    <row r="51" spans="1:24" x14ac:dyDescent="0.25">
      <c r="A51" s="188">
        <f t="shared" si="5"/>
        <v>49</v>
      </c>
      <c r="B51" s="188" t="str">
        <f t="shared" si="14"/>
        <v>Other costs per year</v>
      </c>
      <c r="C51" s="188" t="str">
        <f t="shared" si="14"/>
        <v>€ / kW</v>
      </c>
      <c r="D51" s="188"/>
      <c r="E51" s="194">
        <f>E50</f>
        <v>2050</v>
      </c>
      <c r="F51" s="194" t="str">
        <f t="shared" si="15"/>
        <v>main</v>
      </c>
      <c r="G51" s="188" t="str">
        <f t="shared" si="11"/>
        <v>-</v>
      </c>
      <c r="J51" s="191" t="s">
        <v>421</v>
      </c>
      <c r="K51" s="191" t="s">
        <v>422</v>
      </c>
      <c r="Q51" s="183" t="str" cm="1">
        <f t="array" ref="Q51:R52">'Technology Factsheet'!B36:C37</f>
        <v xml:space="preserve">Fixed operational costs per year               (excl. fuel costs) </v>
      </c>
      <c r="R51" s="183">
        <v>0</v>
      </c>
      <c r="V51" s="183" t="str">
        <f>'Technology Factsheet'!J35</f>
        <v>Min</v>
      </c>
    </row>
    <row r="52" spans="1:24" x14ac:dyDescent="0.25">
      <c r="A52" s="188">
        <f t="shared" si="5"/>
        <v>50</v>
      </c>
      <c r="B52" s="188" t="str">
        <f>Q51</f>
        <v xml:space="preserve">Fixed operational costs per year               (excl. fuel costs) </v>
      </c>
      <c r="C52" s="188" t="str">
        <f>Q53</f>
        <v>€ / kW</v>
      </c>
      <c r="D52" s="188"/>
      <c r="E52" s="194">
        <f>$Q$38</f>
        <v>2020</v>
      </c>
      <c r="F52" s="194" t="s">
        <v>428</v>
      </c>
      <c r="G52" s="188">
        <f t="shared" si="11"/>
        <v>99</v>
      </c>
      <c r="J52" s="191" t="s">
        <v>421</v>
      </c>
      <c r="K52" s="191" t="s">
        <v>422</v>
      </c>
      <c r="Q52" s="183">
        <v>0</v>
      </c>
      <c r="R52" s="183">
        <v>0</v>
      </c>
      <c r="V52" s="183" t="str">
        <f>'Technology Factsheet'!L35</f>
        <v>Max</v>
      </c>
    </row>
    <row r="53" spans="1:24" x14ac:dyDescent="0.25">
      <c r="A53" s="188">
        <f t="shared" si="5"/>
        <v>51</v>
      </c>
      <c r="B53" s="188" t="str">
        <f>B52</f>
        <v xml:space="preserve">Fixed operational costs per year               (excl. fuel costs) </v>
      </c>
      <c r="C53" s="188" t="str">
        <f>C52</f>
        <v>€ / kW</v>
      </c>
      <c r="D53" s="188"/>
      <c r="E53" s="194">
        <f>E52</f>
        <v>2020</v>
      </c>
      <c r="F53" s="194" t="s">
        <v>429</v>
      </c>
      <c r="G53" s="188">
        <f t="shared" si="11"/>
        <v>126</v>
      </c>
      <c r="J53" s="191" t="s">
        <v>421</v>
      </c>
      <c r="K53" s="191" t="s">
        <v>422</v>
      </c>
      <c r="Q53" s="183" t="str" cm="1">
        <f t="array" ref="Q53:R54">'Technology Factsheet'!D36:D37&amp;'Technology Factsheet'!E36:F37</f>
        <v>€ / kW</v>
      </c>
      <c r="R53" s="183" t="str">
        <v xml:space="preserve">€ / </v>
      </c>
      <c r="V53" s="183" cm="1">
        <f t="array" ref="V53:W53">'Technology Factsheet'!I34:J34</f>
        <v>0</v>
      </c>
      <c r="W53" s="183">
        <v>0</v>
      </c>
    </row>
    <row r="54" spans="1:24" x14ac:dyDescent="0.25">
      <c r="A54" s="188">
        <f t="shared" si="5"/>
        <v>52</v>
      </c>
      <c r="B54" s="188" t="str">
        <f t="shared" ref="B54:C60" si="16">B53</f>
        <v xml:space="preserve">Fixed operational costs per year               (excl. fuel costs) </v>
      </c>
      <c r="C54" s="188" t="str">
        <f t="shared" si="16"/>
        <v>€ / kW</v>
      </c>
      <c r="D54" s="188"/>
      <c r="E54" s="194">
        <f>E53</f>
        <v>2020</v>
      </c>
      <c r="F54" s="194" t="s">
        <v>430</v>
      </c>
      <c r="G54" s="188">
        <f t="shared" si="11"/>
        <v>102</v>
      </c>
      <c r="J54" s="191" t="s">
        <v>421</v>
      </c>
      <c r="K54" s="191" t="s">
        <v>422</v>
      </c>
      <c r="Q54" s="183" t="str">
        <v/>
      </c>
      <c r="R54" s="183" t="str">
        <v/>
      </c>
      <c r="V54" s="183" t="str">
        <f>'Technology Factsheet'!M35</f>
        <v>Min</v>
      </c>
    </row>
    <row r="55" spans="1:24" x14ac:dyDescent="0.25">
      <c r="A55" s="188">
        <f t="shared" si="5"/>
        <v>53</v>
      </c>
      <c r="B55" s="188" t="str">
        <f t="shared" si="16"/>
        <v xml:space="preserve">Fixed operational costs per year               (excl. fuel costs) </v>
      </c>
      <c r="C55" s="188" t="str">
        <f t="shared" si="16"/>
        <v>€ / kW</v>
      </c>
      <c r="D55" s="188"/>
      <c r="E55" s="194">
        <f>$Q$40</f>
        <v>2030</v>
      </c>
      <c r="F55" s="194" t="str">
        <f>F52</f>
        <v>min</v>
      </c>
      <c r="G55" s="188" t="str">
        <f t="shared" si="11"/>
        <v>-</v>
      </c>
      <c r="J55" s="191" t="s">
        <v>421</v>
      </c>
      <c r="K55" s="191" t="s">
        <v>422</v>
      </c>
      <c r="Q55" s="183" t="str" cm="1">
        <f t="array" ref="Q55:R56">'Technology Factsheet'!B38:C39</f>
        <v>Variable costs per year</v>
      </c>
      <c r="R55" s="183">
        <v>0</v>
      </c>
      <c r="V55" s="183" t="str">
        <f>'Technology Factsheet'!O35</f>
        <v>Max</v>
      </c>
    </row>
    <row r="56" spans="1:24" x14ac:dyDescent="0.25">
      <c r="A56" s="188">
        <f t="shared" si="5"/>
        <v>54</v>
      </c>
      <c r="B56" s="188" t="str">
        <f t="shared" si="16"/>
        <v xml:space="preserve">Fixed operational costs per year               (excl. fuel costs) </v>
      </c>
      <c r="C56" s="188" t="str">
        <f t="shared" si="16"/>
        <v>€ / kW</v>
      </c>
      <c r="D56" s="188"/>
      <c r="E56" s="194">
        <f>E55</f>
        <v>2030</v>
      </c>
      <c r="F56" s="194" t="str">
        <f t="shared" ref="F56:F60" si="17">F53</f>
        <v>max</v>
      </c>
      <c r="G56" s="188" t="str">
        <f t="shared" si="11"/>
        <v>-</v>
      </c>
      <c r="J56" s="191" t="s">
        <v>421</v>
      </c>
      <c r="K56" s="191" t="s">
        <v>422</v>
      </c>
      <c r="Q56" s="183">
        <v>0</v>
      </c>
      <c r="R56" s="183">
        <v>0</v>
      </c>
      <c r="V56" s="183" cm="1">
        <f t="array" ref="V56:X56">'Technology Factsheet'!M34:O34</f>
        <v>0</v>
      </c>
      <c r="W56" s="183">
        <v>0</v>
      </c>
      <c r="X56" s="183">
        <v>0</v>
      </c>
    </row>
    <row r="57" spans="1:24" x14ac:dyDescent="0.25">
      <c r="A57" s="188">
        <f t="shared" si="5"/>
        <v>55</v>
      </c>
      <c r="B57" s="188" t="str">
        <f t="shared" si="16"/>
        <v xml:space="preserve">Fixed operational costs per year               (excl. fuel costs) </v>
      </c>
      <c r="C57" s="188" t="str">
        <f t="shared" si="16"/>
        <v>€ / kW</v>
      </c>
      <c r="D57" s="188"/>
      <c r="E57" s="194">
        <f>E56</f>
        <v>2030</v>
      </c>
      <c r="F57" s="194" t="str">
        <f t="shared" si="17"/>
        <v>main</v>
      </c>
      <c r="G57" s="188" t="str">
        <f t="shared" si="11"/>
        <v>-</v>
      </c>
      <c r="J57" s="191" t="s">
        <v>421</v>
      </c>
      <c r="K57" s="191" t="s">
        <v>422</v>
      </c>
      <c r="Q57" s="183" t="str" cm="1">
        <f t="array" ref="Q57:R58">'Technology Factsheet'!D38:D39&amp;'Technology Factsheet'!E38:F39</f>
        <v xml:space="preserve">mln. € /  </v>
      </c>
      <c r="R57" s="183" t="str">
        <v xml:space="preserve">mln. € / </v>
      </c>
      <c r="V57" s="183">
        <f>'Technology Factsheet'!G37</f>
        <v>99</v>
      </c>
    </row>
    <row r="58" spans="1:24" x14ac:dyDescent="0.25">
      <c r="A58" s="188">
        <f t="shared" si="5"/>
        <v>56</v>
      </c>
      <c r="B58" s="188" t="str">
        <f t="shared" si="16"/>
        <v xml:space="preserve">Fixed operational costs per year               (excl. fuel costs) </v>
      </c>
      <c r="C58" s="188" t="str">
        <f t="shared" si="16"/>
        <v>€ / kW</v>
      </c>
      <c r="D58" s="188"/>
      <c r="E58" s="194">
        <f>$Q$41</f>
        <v>2050</v>
      </c>
      <c r="F58" s="194" t="str">
        <f t="shared" si="17"/>
        <v>min</v>
      </c>
      <c r="G58" s="188" t="str">
        <f t="shared" si="11"/>
        <v>-</v>
      </c>
      <c r="J58" s="191" t="s">
        <v>421</v>
      </c>
      <c r="K58" s="191" t="s">
        <v>422</v>
      </c>
      <c r="Q58" s="183" t="str">
        <v/>
      </c>
      <c r="R58" s="183" t="str">
        <v/>
      </c>
      <c r="V58" s="183">
        <f>'Technology Factsheet'!I37</f>
        <v>126</v>
      </c>
    </row>
    <row r="59" spans="1:24" x14ac:dyDescent="0.25">
      <c r="A59" s="188">
        <f t="shared" si="5"/>
        <v>57</v>
      </c>
      <c r="B59" s="188" t="str">
        <f t="shared" si="16"/>
        <v xml:space="preserve">Fixed operational costs per year               (excl. fuel costs) </v>
      </c>
      <c r="C59" s="188" t="str">
        <f t="shared" si="16"/>
        <v>€ / kW</v>
      </c>
      <c r="D59" s="188"/>
      <c r="E59" s="194">
        <f>E58</f>
        <v>2050</v>
      </c>
      <c r="F59" s="194" t="str">
        <f t="shared" si="17"/>
        <v>max</v>
      </c>
      <c r="G59" s="188" t="str">
        <f t="shared" si="11"/>
        <v>-</v>
      </c>
      <c r="J59" s="191" t="s">
        <v>421</v>
      </c>
      <c r="K59" s="191" t="s">
        <v>422</v>
      </c>
      <c r="V59" s="183" cm="1">
        <f t="array" ref="V59:X59">'Technology Factsheet'!G36:I36</f>
        <v>102</v>
      </c>
      <c r="W59" s="183">
        <v>0</v>
      </c>
      <c r="X59" s="183">
        <v>0</v>
      </c>
    </row>
    <row r="60" spans="1:24" x14ac:dyDescent="0.25">
      <c r="A60" s="188">
        <f t="shared" si="5"/>
        <v>58</v>
      </c>
      <c r="B60" s="188" t="str">
        <f t="shared" si="16"/>
        <v xml:space="preserve">Fixed operational costs per year               (excl. fuel costs) </v>
      </c>
      <c r="C60" s="188" t="str">
        <f t="shared" si="16"/>
        <v>€ / kW</v>
      </c>
      <c r="D60" s="188"/>
      <c r="E60" s="194">
        <f>E59</f>
        <v>2050</v>
      </c>
      <c r="F60" s="194" t="str">
        <f t="shared" si="17"/>
        <v>main</v>
      </c>
      <c r="G60" s="188" t="str">
        <f t="shared" si="11"/>
        <v>-</v>
      </c>
      <c r="J60" s="191" t="s">
        <v>421</v>
      </c>
      <c r="K60" s="191" t="s">
        <v>422</v>
      </c>
      <c r="V60" s="183" t="str">
        <f>'Technology Factsheet'!J37</f>
        <v>Min</v>
      </c>
    </row>
    <row r="61" spans="1:24" x14ac:dyDescent="0.25">
      <c r="A61" s="188">
        <f t="shared" si="5"/>
        <v>59</v>
      </c>
      <c r="B61" s="188" t="str">
        <f>Q55</f>
        <v>Variable costs per year</v>
      </c>
      <c r="C61" s="188" t="str">
        <f>Q57</f>
        <v xml:space="preserve">mln. € /  </v>
      </c>
      <c r="D61" s="188"/>
      <c r="E61" s="194">
        <f>$Q$38</f>
        <v>2020</v>
      </c>
      <c r="F61" s="194" t="s">
        <v>428</v>
      </c>
      <c r="G61" s="188" t="str">
        <f t="shared" si="11"/>
        <v>-</v>
      </c>
      <c r="J61" s="191" t="s">
        <v>421</v>
      </c>
      <c r="K61" s="191" t="s">
        <v>422</v>
      </c>
      <c r="V61" s="183" t="str">
        <f>'Technology Factsheet'!L37</f>
        <v>Max</v>
      </c>
    </row>
    <row r="62" spans="1:24" x14ac:dyDescent="0.25">
      <c r="A62" s="188">
        <f t="shared" si="5"/>
        <v>60</v>
      </c>
      <c r="B62" s="188" t="str">
        <f>B61</f>
        <v>Variable costs per year</v>
      </c>
      <c r="C62" s="188" t="str">
        <f>C61</f>
        <v xml:space="preserve">mln. € /  </v>
      </c>
      <c r="D62" s="188"/>
      <c r="E62" s="194">
        <f>E61</f>
        <v>2020</v>
      </c>
      <c r="F62" s="194" t="s">
        <v>429</v>
      </c>
      <c r="G62" s="188" t="str">
        <f t="shared" si="11"/>
        <v>-</v>
      </c>
      <c r="J62" s="191" t="s">
        <v>421</v>
      </c>
      <c r="K62" s="191" t="s">
        <v>422</v>
      </c>
      <c r="V62" s="183" cm="1">
        <f t="array" ref="V62:X62">'Technology Factsheet'!J36:L36</f>
        <v>0</v>
      </c>
      <c r="W62" s="183">
        <v>0</v>
      </c>
      <c r="X62" s="183">
        <v>0</v>
      </c>
    </row>
    <row r="63" spans="1:24" x14ac:dyDescent="0.25">
      <c r="A63" s="188">
        <f t="shared" si="5"/>
        <v>61</v>
      </c>
      <c r="B63" s="188" t="str">
        <f t="shared" ref="B63:C69" si="18">B62</f>
        <v>Variable costs per year</v>
      </c>
      <c r="C63" s="188" t="str">
        <f t="shared" si="18"/>
        <v xml:space="preserve">mln. € /  </v>
      </c>
      <c r="D63" s="188"/>
      <c r="E63" s="194">
        <f>E62</f>
        <v>2020</v>
      </c>
      <c r="F63" s="194" t="s">
        <v>430</v>
      </c>
      <c r="G63" s="188" t="str">
        <f t="shared" si="11"/>
        <v>-</v>
      </c>
      <c r="J63" s="191" t="s">
        <v>421</v>
      </c>
      <c r="K63" s="191" t="s">
        <v>422</v>
      </c>
      <c r="V63" s="183" t="str">
        <f>'Technology Factsheet'!M37</f>
        <v>Min</v>
      </c>
    </row>
    <row r="64" spans="1:24" x14ac:dyDescent="0.25">
      <c r="A64" s="188">
        <f t="shared" si="5"/>
        <v>62</v>
      </c>
      <c r="B64" s="188" t="str">
        <f t="shared" si="18"/>
        <v>Variable costs per year</v>
      </c>
      <c r="C64" s="188" t="str">
        <f t="shared" si="18"/>
        <v xml:space="preserve">mln. € /  </v>
      </c>
      <c r="D64" s="188"/>
      <c r="E64" s="194">
        <f>$Q$40</f>
        <v>2030</v>
      </c>
      <c r="F64" s="194" t="str">
        <f>F61</f>
        <v>min</v>
      </c>
      <c r="G64" s="188" t="str">
        <f t="shared" si="11"/>
        <v>-</v>
      </c>
      <c r="J64" s="191" t="s">
        <v>421</v>
      </c>
      <c r="K64" s="191" t="s">
        <v>422</v>
      </c>
      <c r="V64" s="183" t="str">
        <f>'Technology Factsheet'!O37</f>
        <v>Max</v>
      </c>
    </row>
    <row r="65" spans="1:24" x14ac:dyDescent="0.25">
      <c r="A65" s="188">
        <f t="shared" si="5"/>
        <v>63</v>
      </c>
      <c r="B65" s="188" t="str">
        <f t="shared" si="18"/>
        <v>Variable costs per year</v>
      </c>
      <c r="C65" s="188" t="str">
        <f t="shared" si="18"/>
        <v xml:space="preserve">mln. € /  </v>
      </c>
      <c r="D65" s="188"/>
      <c r="E65" s="194">
        <f>E64</f>
        <v>2030</v>
      </c>
      <c r="F65" s="194" t="str">
        <f t="shared" ref="F65:F69" si="19">F62</f>
        <v>max</v>
      </c>
      <c r="G65" s="188" t="str">
        <f t="shared" si="11"/>
        <v>-</v>
      </c>
      <c r="J65" s="191" t="s">
        <v>421</v>
      </c>
      <c r="K65" s="191" t="s">
        <v>422</v>
      </c>
      <c r="V65" s="183" cm="1">
        <f t="array" ref="V65:X65">'Technology Factsheet'!M36:O36</f>
        <v>0</v>
      </c>
      <c r="W65" s="183">
        <v>0</v>
      </c>
      <c r="X65" s="183">
        <v>0</v>
      </c>
    </row>
    <row r="66" spans="1:24" x14ac:dyDescent="0.25">
      <c r="A66" s="188">
        <f t="shared" si="5"/>
        <v>64</v>
      </c>
      <c r="B66" s="188" t="str">
        <f t="shared" si="18"/>
        <v>Variable costs per year</v>
      </c>
      <c r="C66" s="188" t="str">
        <f t="shared" si="18"/>
        <v xml:space="preserve">mln. € /  </v>
      </c>
      <c r="D66" s="188"/>
      <c r="E66" s="194">
        <f>E65</f>
        <v>2030</v>
      </c>
      <c r="F66" s="194" t="str">
        <f t="shared" si="19"/>
        <v>main</v>
      </c>
      <c r="G66" s="188" t="str">
        <f t="shared" si="11"/>
        <v>-</v>
      </c>
      <c r="J66" s="191" t="s">
        <v>421</v>
      </c>
      <c r="K66" s="191" t="s">
        <v>422</v>
      </c>
      <c r="V66" s="183" t="str">
        <f>'Technology Factsheet'!G39</f>
        <v>Min</v>
      </c>
    </row>
    <row r="67" spans="1:24" x14ac:dyDescent="0.25">
      <c r="A67" s="188">
        <f t="shared" si="5"/>
        <v>65</v>
      </c>
      <c r="B67" s="188" t="str">
        <f t="shared" si="18"/>
        <v>Variable costs per year</v>
      </c>
      <c r="C67" s="188" t="str">
        <f t="shared" si="18"/>
        <v xml:space="preserve">mln. € /  </v>
      </c>
      <c r="D67" s="188"/>
      <c r="E67" s="194">
        <f>$Q$41</f>
        <v>2050</v>
      </c>
      <c r="F67" s="194" t="str">
        <f t="shared" si="19"/>
        <v>min</v>
      </c>
      <c r="G67" s="188" t="str">
        <f t="shared" si="11"/>
        <v>-</v>
      </c>
      <c r="J67" s="191" t="s">
        <v>421</v>
      </c>
      <c r="K67" s="191" t="s">
        <v>422</v>
      </c>
      <c r="V67" s="183" t="str">
        <f>'Technology Factsheet'!I39</f>
        <v>Max</v>
      </c>
    </row>
    <row r="68" spans="1:24" x14ac:dyDescent="0.25">
      <c r="A68" s="188">
        <f t="shared" si="5"/>
        <v>66</v>
      </c>
      <c r="B68" s="188" t="str">
        <f t="shared" si="18"/>
        <v>Variable costs per year</v>
      </c>
      <c r="C68" s="188" t="str">
        <f t="shared" si="18"/>
        <v xml:space="preserve">mln. € /  </v>
      </c>
      <c r="D68" s="188"/>
      <c r="E68" s="194">
        <f>E67</f>
        <v>2050</v>
      </c>
      <c r="F68" s="194" t="str">
        <f t="shared" si="19"/>
        <v>max</v>
      </c>
      <c r="G68" s="188" t="str">
        <f t="shared" si="11"/>
        <v>-</v>
      </c>
      <c r="J68" s="191" t="s">
        <v>421</v>
      </c>
      <c r="K68" s="191" t="s">
        <v>422</v>
      </c>
      <c r="V68" s="183" cm="1">
        <f t="array" ref="V68:X68">'Technology Factsheet'!G38:I38</f>
        <v>0</v>
      </c>
      <c r="W68" s="183">
        <v>0</v>
      </c>
      <c r="X68" s="183">
        <v>0</v>
      </c>
    </row>
    <row r="69" spans="1:24" x14ac:dyDescent="0.25">
      <c r="A69" s="188">
        <f t="shared" si="5"/>
        <v>67</v>
      </c>
      <c r="B69" s="188" t="str">
        <f t="shared" si="18"/>
        <v>Variable costs per year</v>
      </c>
      <c r="C69" s="188" t="str">
        <f t="shared" si="18"/>
        <v xml:space="preserve">mln. € /  </v>
      </c>
      <c r="D69" s="188"/>
      <c r="E69" s="194">
        <f>E68</f>
        <v>2050</v>
      </c>
      <c r="F69" s="194" t="str">
        <f t="shared" si="19"/>
        <v>main</v>
      </c>
      <c r="G69" s="188" t="str">
        <f t="shared" si="11"/>
        <v>-</v>
      </c>
      <c r="J69" s="191" t="s">
        <v>421</v>
      </c>
      <c r="K69" s="191" t="s">
        <v>422</v>
      </c>
      <c r="V69" s="183" t="str">
        <f>'Technology Factsheet'!J39</f>
        <v>Min</v>
      </c>
    </row>
    <row r="70" spans="1:24" x14ac:dyDescent="0.25">
      <c r="A70" s="188">
        <f t="shared" si="5"/>
        <v>68</v>
      </c>
      <c r="B70" s="188" t="str">
        <f>IF(G70&gt;0,"Input Energy Carrier",IF(G70&lt;0,"Output Energy Carrier",""))</f>
        <v>Output Energy Carrier</v>
      </c>
      <c r="C70" s="188" t="str">
        <f>Q76</f>
        <v>PJ</v>
      </c>
      <c r="D70" s="188" t="str">
        <f>Q75</f>
        <v>Heat</v>
      </c>
      <c r="E70" s="194">
        <f>$Q$38</f>
        <v>2020</v>
      </c>
      <c r="F70" s="194" t="s">
        <v>428</v>
      </c>
      <c r="G70" s="188">
        <f t="shared" si="11"/>
        <v>-1</v>
      </c>
      <c r="J70" s="191" t="s">
        <v>421</v>
      </c>
      <c r="K70" s="191" t="s">
        <v>422</v>
      </c>
      <c r="V70" s="183" t="str">
        <f>'Technology Factsheet'!L39</f>
        <v>Max</v>
      </c>
    </row>
    <row r="71" spans="1:24" x14ac:dyDescent="0.25">
      <c r="A71" s="188">
        <f t="shared" si="5"/>
        <v>69</v>
      </c>
      <c r="B71" s="188" t="str">
        <f t="shared" ref="B71:B105" si="20">IF(G71&gt;0,"Input Energy Carrier",IF(G71&lt;0,"Output Energy Carrier",""))</f>
        <v>Output Energy Carrier</v>
      </c>
      <c r="C71" s="188" t="str">
        <f>C70</f>
        <v>PJ</v>
      </c>
      <c r="D71" s="188" t="str">
        <f>D70</f>
        <v>Heat</v>
      </c>
      <c r="E71" s="194">
        <f>E70</f>
        <v>2020</v>
      </c>
      <c r="F71" s="194" t="s">
        <v>429</v>
      </c>
      <c r="G71" s="188">
        <f t="shared" si="11"/>
        <v>-1</v>
      </c>
      <c r="J71" s="191" t="s">
        <v>421</v>
      </c>
      <c r="K71" s="191" t="s">
        <v>422</v>
      </c>
      <c r="V71" s="183" cm="1">
        <f t="array" ref="V71:X71">'Technology Factsheet'!J38:L38</f>
        <v>0</v>
      </c>
      <c r="W71" s="183">
        <v>0</v>
      </c>
      <c r="X71" s="183">
        <v>0</v>
      </c>
    </row>
    <row r="72" spans="1:24" x14ac:dyDescent="0.25">
      <c r="A72" s="188">
        <f t="shared" si="5"/>
        <v>70</v>
      </c>
      <c r="B72" s="188" t="str">
        <f t="shared" si="20"/>
        <v>Output Energy Carrier</v>
      </c>
      <c r="C72" s="188" t="str">
        <f t="shared" ref="C72:D78" si="21">C71</f>
        <v>PJ</v>
      </c>
      <c r="D72" s="188" t="str">
        <f t="shared" si="21"/>
        <v>Heat</v>
      </c>
      <c r="E72" s="194">
        <f>E71</f>
        <v>2020</v>
      </c>
      <c r="F72" s="194" t="s">
        <v>430</v>
      </c>
      <c r="G72" s="188">
        <f t="shared" si="11"/>
        <v>-1</v>
      </c>
      <c r="J72" s="191" t="s">
        <v>421</v>
      </c>
      <c r="K72" s="191" t="s">
        <v>422</v>
      </c>
      <c r="V72" s="183" t="str">
        <f>'Technology Factsheet'!M39</f>
        <v>Min</v>
      </c>
    </row>
    <row r="73" spans="1:24" x14ac:dyDescent="0.25">
      <c r="A73" s="188">
        <f t="shared" si="5"/>
        <v>71</v>
      </c>
      <c r="B73" s="188" t="str">
        <f t="shared" si="20"/>
        <v>Input Energy Carrier</v>
      </c>
      <c r="C73" s="188" t="str">
        <f t="shared" si="21"/>
        <v>PJ</v>
      </c>
      <c r="D73" s="188" t="str">
        <f t="shared" si="21"/>
        <v>Heat</v>
      </c>
      <c r="E73" s="194">
        <f>$Q$40</f>
        <v>2030</v>
      </c>
      <c r="F73" s="194" t="str">
        <f>F70</f>
        <v>min</v>
      </c>
      <c r="G73" s="188">
        <f t="shared" si="11"/>
        <v>1</v>
      </c>
      <c r="J73" s="191" t="s">
        <v>421</v>
      </c>
      <c r="K73" s="191" t="s">
        <v>422</v>
      </c>
      <c r="V73" s="183" t="str">
        <f>'Technology Factsheet'!O39</f>
        <v>Max</v>
      </c>
    </row>
    <row r="74" spans="1:24" x14ac:dyDescent="0.25">
      <c r="A74" s="188">
        <f t="shared" si="5"/>
        <v>72</v>
      </c>
      <c r="B74" s="188" t="str">
        <f t="shared" si="20"/>
        <v>Input Energy Carrier</v>
      </c>
      <c r="C74" s="188" t="str">
        <f t="shared" si="21"/>
        <v>PJ</v>
      </c>
      <c r="D74" s="188" t="str">
        <f t="shared" si="21"/>
        <v>Heat</v>
      </c>
      <c r="E74" s="194">
        <f>E73</f>
        <v>2030</v>
      </c>
      <c r="F74" s="194" t="str">
        <f t="shared" ref="F74:F78" si="22">F71</f>
        <v>max</v>
      </c>
      <c r="G74" s="188">
        <f t="shared" si="11"/>
        <v>1</v>
      </c>
      <c r="J74" s="191" t="s">
        <v>421</v>
      </c>
      <c r="K74" s="191" t="s">
        <v>422</v>
      </c>
      <c r="V74" s="183" cm="1">
        <f t="array" ref="V74:X74">'Technology Factsheet'!M38:O38</f>
        <v>0</v>
      </c>
      <c r="W74" s="183">
        <v>0</v>
      </c>
      <c r="X74" s="183">
        <v>0</v>
      </c>
    </row>
    <row r="75" spans="1:24" x14ac:dyDescent="0.25">
      <c r="A75" s="188">
        <f t="shared" si="5"/>
        <v>73</v>
      </c>
      <c r="B75" s="188" t="str">
        <f t="shared" si="20"/>
        <v>Input Energy Carrier</v>
      </c>
      <c r="C75" s="188" t="str">
        <f t="shared" si="21"/>
        <v>PJ</v>
      </c>
      <c r="D75" s="188" t="str">
        <f t="shared" si="21"/>
        <v>Heat</v>
      </c>
      <c r="E75" s="194">
        <f>E74</f>
        <v>2030</v>
      </c>
      <c r="F75" s="194" t="str">
        <f t="shared" si="22"/>
        <v>main</v>
      </c>
      <c r="G75" s="188">
        <f t="shared" si="11"/>
        <v>1</v>
      </c>
      <c r="J75" s="191" t="s">
        <v>421</v>
      </c>
      <c r="K75" s="191" t="s">
        <v>422</v>
      </c>
      <c r="P75" s="183" t="s">
        <v>100</v>
      </c>
      <c r="Q75" s="183" t="str" cm="1">
        <f t="array" ref="Q75:R75">'Technology Factsheet'!D44:E44</f>
        <v>Heat</v>
      </c>
      <c r="R75" s="183">
        <v>0</v>
      </c>
      <c r="U75" s="183" t="s">
        <v>100</v>
      </c>
      <c r="V75" s="183">
        <f>'Technology Factsheet'!$G$44</f>
        <v>-1</v>
      </c>
    </row>
    <row r="76" spans="1:24" x14ac:dyDescent="0.25">
      <c r="A76" s="188">
        <f t="shared" si="5"/>
        <v>74</v>
      </c>
      <c r="B76" s="188" t="str">
        <f t="shared" si="20"/>
        <v>Input Energy Carrier</v>
      </c>
      <c r="C76" s="188" t="str">
        <f t="shared" si="21"/>
        <v>PJ</v>
      </c>
      <c r="D76" s="188" t="str">
        <f t="shared" si="21"/>
        <v>Heat</v>
      </c>
      <c r="E76" s="194">
        <f>$Q$41</f>
        <v>2050</v>
      </c>
      <c r="F76" s="194" t="str">
        <f t="shared" si="22"/>
        <v>min</v>
      </c>
      <c r="G76" s="188">
        <f t="shared" si="11"/>
        <v>1</v>
      </c>
      <c r="J76" s="191" t="s">
        <v>421</v>
      </c>
      <c r="K76" s="191" t="s">
        <v>422</v>
      </c>
      <c r="Q76" s="183" t="str" cm="1">
        <f t="array" ref="Q76:Q77">'Technology Factsheet'!F43:F44</f>
        <v>PJ</v>
      </c>
      <c r="V76" s="183">
        <f>'Technology Factsheet'!$I$44</f>
        <v>-1</v>
      </c>
    </row>
    <row r="77" spans="1:24" x14ac:dyDescent="0.25">
      <c r="A77" s="188">
        <f t="shared" si="5"/>
        <v>75</v>
      </c>
      <c r="B77" s="188" t="str">
        <f t="shared" si="20"/>
        <v>Input Energy Carrier</v>
      </c>
      <c r="C77" s="188" t="str">
        <f t="shared" si="21"/>
        <v>PJ</v>
      </c>
      <c r="D77" s="188" t="str">
        <f t="shared" si="21"/>
        <v>Heat</v>
      </c>
      <c r="E77" s="194">
        <f>E76</f>
        <v>2050</v>
      </c>
      <c r="F77" s="194" t="str">
        <f t="shared" si="22"/>
        <v>max</v>
      </c>
      <c r="G77" s="188">
        <f t="shared" si="11"/>
        <v>1</v>
      </c>
      <c r="J77" s="191" t="s">
        <v>421</v>
      </c>
      <c r="K77" s="191" t="s">
        <v>422</v>
      </c>
      <c r="Q77" s="183">
        <v>0</v>
      </c>
      <c r="V77" s="183" cm="1">
        <f t="array" ref="V77:X77">'Technology Factsheet'!$G$43:$I$43</f>
        <v>-1</v>
      </c>
      <c r="W77" s="183">
        <v>0</v>
      </c>
      <c r="X77" s="183">
        <v>0</v>
      </c>
    </row>
    <row r="78" spans="1:24" x14ac:dyDescent="0.25">
      <c r="A78" s="188">
        <f t="shared" si="5"/>
        <v>76</v>
      </c>
      <c r="B78" s="188" t="str">
        <f t="shared" si="20"/>
        <v>Input Energy Carrier</v>
      </c>
      <c r="C78" s="188" t="str">
        <f t="shared" si="21"/>
        <v>PJ</v>
      </c>
      <c r="D78" s="188" t="str">
        <f t="shared" si="21"/>
        <v>Heat</v>
      </c>
      <c r="E78" s="194">
        <f>E77</f>
        <v>2050</v>
      </c>
      <c r="F78" s="194" t="str">
        <f t="shared" si="22"/>
        <v>main</v>
      </c>
      <c r="G78" s="188">
        <f t="shared" si="11"/>
        <v>1</v>
      </c>
      <c r="J78" s="191" t="s">
        <v>421</v>
      </c>
      <c r="K78" s="191" t="s">
        <v>422</v>
      </c>
      <c r="Q78" s="183" t="str" cm="1">
        <f t="array" ref="Q78:R79">'Technology Factsheet'!D45:E46</f>
        <v>Electricity</v>
      </c>
      <c r="R78" s="183">
        <v>0</v>
      </c>
      <c r="V78" s="183">
        <f>'Technology Factsheet'!$J$44</f>
        <v>1</v>
      </c>
    </row>
    <row r="79" spans="1:24" x14ac:dyDescent="0.25">
      <c r="A79" s="188">
        <f t="shared" si="5"/>
        <v>77</v>
      </c>
      <c r="B79" s="188" t="str">
        <f t="shared" si="20"/>
        <v>Input Energy Carrier</v>
      </c>
      <c r="C79" s="188" t="str">
        <f>Q80</f>
        <v>PJ</v>
      </c>
      <c r="D79" s="188" t="str">
        <f>Q78</f>
        <v>Electricity</v>
      </c>
      <c r="E79" s="194">
        <f>$Q$38</f>
        <v>2020</v>
      </c>
      <c r="F79" s="194" t="s">
        <v>428</v>
      </c>
      <c r="G79" s="188">
        <f t="shared" si="11"/>
        <v>0.05</v>
      </c>
      <c r="J79" s="191" t="s">
        <v>421</v>
      </c>
      <c r="K79" s="191" t="s">
        <v>422</v>
      </c>
      <c r="Q79" s="183">
        <v>0</v>
      </c>
      <c r="R79" s="183">
        <v>0</v>
      </c>
      <c r="V79" s="183">
        <f>'Technology Factsheet'!$J$44</f>
        <v>1</v>
      </c>
    </row>
    <row r="80" spans="1:24" x14ac:dyDescent="0.25">
      <c r="A80" s="188">
        <f t="shared" si="5"/>
        <v>78</v>
      </c>
      <c r="B80" s="188" t="str">
        <f t="shared" si="20"/>
        <v>Input Energy Carrier</v>
      </c>
      <c r="C80" s="188" t="str">
        <f>C79</f>
        <v>PJ</v>
      </c>
      <c r="D80" s="188" t="str">
        <f>D79</f>
        <v>Electricity</v>
      </c>
      <c r="E80" s="194">
        <f>E79</f>
        <v>2020</v>
      </c>
      <c r="F80" s="194" t="s">
        <v>429</v>
      </c>
      <c r="G80" s="188">
        <f t="shared" si="11"/>
        <v>0.05</v>
      </c>
      <c r="J80" s="191" t="s">
        <v>421</v>
      </c>
      <c r="K80" s="191" t="s">
        <v>422</v>
      </c>
      <c r="Q80" s="183" t="str" cm="1">
        <f t="array" ref="Q80:Q81">'Technology Factsheet'!F45:F46</f>
        <v>PJ</v>
      </c>
      <c r="V80" s="183" cm="1">
        <f t="array" ref="V80:X80">'Technology Factsheet'!$J$43:$L$43</f>
        <v>1</v>
      </c>
      <c r="W80" s="183">
        <v>0</v>
      </c>
      <c r="X80" s="183">
        <v>0</v>
      </c>
    </row>
    <row r="81" spans="1:24" x14ac:dyDescent="0.25">
      <c r="A81" s="188">
        <f t="shared" ref="A81:A144" si="23">A80+1</f>
        <v>79</v>
      </c>
      <c r="B81" s="188" t="str">
        <f t="shared" si="20"/>
        <v>Input Energy Carrier</v>
      </c>
      <c r="C81" s="188" t="str">
        <f t="shared" ref="C81:D87" si="24">C80</f>
        <v>PJ</v>
      </c>
      <c r="D81" s="188" t="str">
        <f t="shared" si="24"/>
        <v>Electricity</v>
      </c>
      <c r="E81" s="194">
        <f>E80</f>
        <v>2020</v>
      </c>
      <c r="F81" s="194" t="s">
        <v>430</v>
      </c>
      <c r="G81" s="188">
        <f t="shared" si="11"/>
        <v>0.05</v>
      </c>
      <c r="J81" s="191" t="s">
        <v>421</v>
      </c>
      <c r="K81" s="191" t="s">
        <v>422</v>
      </c>
      <c r="Q81" s="183">
        <v>0</v>
      </c>
      <c r="V81" s="183">
        <f>'Technology Factsheet'!$M$44</f>
        <v>1</v>
      </c>
    </row>
    <row r="82" spans="1:24" x14ac:dyDescent="0.25">
      <c r="A82" s="188">
        <f t="shared" si="23"/>
        <v>80</v>
      </c>
      <c r="B82" s="188" t="str">
        <f t="shared" si="20"/>
        <v>Input Energy Carrier</v>
      </c>
      <c r="C82" s="188" t="str">
        <f t="shared" si="24"/>
        <v>PJ</v>
      </c>
      <c r="D82" s="188" t="str">
        <f t="shared" si="24"/>
        <v>Electricity</v>
      </c>
      <c r="E82" s="194">
        <f>$Q$40</f>
        <v>2030</v>
      </c>
      <c r="F82" s="194" t="str">
        <f>F79</f>
        <v>min</v>
      </c>
      <c r="G82" s="188">
        <f t="shared" si="11"/>
        <v>0.04</v>
      </c>
      <c r="J82" s="191" t="s">
        <v>421</v>
      </c>
      <c r="K82" s="191" t="s">
        <v>422</v>
      </c>
      <c r="Q82" s="183" t="str" cm="1">
        <f t="array" ref="Q82:R83">'Technology Factsheet'!D47:E48</f>
        <v>Geothermal heat</v>
      </c>
      <c r="R82" s="183">
        <v>0</v>
      </c>
      <c r="V82" s="183">
        <f>'Technology Factsheet'!$M$44</f>
        <v>1</v>
      </c>
    </row>
    <row r="83" spans="1:24" x14ac:dyDescent="0.25">
      <c r="A83" s="188">
        <f t="shared" si="23"/>
        <v>81</v>
      </c>
      <c r="B83" s="188" t="str">
        <f t="shared" si="20"/>
        <v>Input Energy Carrier</v>
      </c>
      <c r="C83" s="188" t="str">
        <f t="shared" si="24"/>
        <v>PJ</v>
      </c>
      <c r="D83" s="188" t="str">
        <f t="shared" si="24"/>
        <v>Electricity</v>
      </c>
      <c r="E83" s="194">
        <f>E82</f>
        <v>2030</v>
      </c>
      <c r="F83" s="194" t="str">
        <f t="shared" ref="F83:F87" si="25">F80</f>
        <v>max</v>
      </c>
      <c r="G83" s="188">
        <f t="shared" si="11"/>
        <v>0.04</v>
      </c>
      <c r="J83" s="191" t="s">
        <v>421</v>
      </c>
      <c r="K83" s="191" t="s">
        <v>422</v>
      </c>
      <c r="Q83" s="183">
        <v>0</v>
      </c>
      <c r="R83" s="183">
        <v>0</v>
      </c>
      <c r="V83" s="183" cm="1">
        <f t="array" ref="V83:X83">'Technology Factsheet'!$M$43:$O$43</f>
        <v>1</v>
      </c>
      <c r="W83" s="183">
        <v>0</v>
      </c>
      <c r="X83" s="183">
        <v>0</v>
      </c>
    </row>
    <row r="84" spans="1:24" x14ac:dyDescent="0.25">
      <c r="A84" s="188">
        <f t="shared" si="23"/>
        <v>82</v>
      </c>
      <c r="B84" s="188" t="str">
        <f t="shared" si="20"/>
        <v>Input Energy Carrier</v>
      </c>
      <c r="C84" s="188" t="str">
        <f t="shared" si="24"/>
        <v>PJ</v>
      </c>
      <c r="D84" s="188" t="str">
        <f t="shared" si="24"/>
        <v>Electricity</v>
      </c>
      <c r="E84" s="194">
        <f>E83</f>
        <v>2030</v>
      </c>
      <c r="F84" s="194" t="str">
        <f t="shared" si="25"/>
        <v>main</v>
      </c>
      <c r="G84" s="188">
        <f t="shared" si="11"/>
        <v>0.04</v>
      </c>
      <c r="J84" s="191" t="s">
        <v>421</v>
      </c>
      <c r="K84" s="191" t="s">
        <v>422</v>
      </c>
      <c r="Q84" s="183" t="str" cm="1">
        <f t="array" ref="Q84:Q85">'Technology Factsheet'!F47:F48</f>
        <v>PJ</v>
      </c>
      <c r="V84" s="183">
        <f>'Technology Factsheet'!$G$46</f>
        <v>0.05</v>
      </c>
    </row>
    <row r="85" spans="1:24" x14ac:dyDescent="0.25">
      <c r="A85" s="188">
        <f t="shared" si="23"/>
        <v>83</v>
      </c>
      <c r="B85" s="188" t="str">
        <f t="shared" si="20"/>
        <v>Input Energy Carrier</v>
      </c>
      <c r="C85" s="188" t="str">
        <f t="shared" si="24"/>
        <v>PJ</v>
      </c>
      <c r="D85" s="188" t="str">
        <f t="shared" si="24"/>
        <v>Electricity</v>
      </c>
      <c r="E85" s="194">
        <f>$Q$41</f>
        <v>2050</v>
      </c>
      <c r="F85" s="194" t="str">
        <f t="shared" si="25"/>
        <v>min</v>
      </c>
      <c r="G85" s="188">
        <f t="shared" si="11"/>
        <v>0.03</v>
      </c>
      <c r="J85" s="191" t="s">
        <v>421</v>
      </c>
      <c r="K85" s="191" t="s">
        <v>422</v>
      </c>
      <c r="Q85" s="183">
        <v>0</v>
      </c>
      <c r="V85" s="183">
        <f>'Technology Factsheet'!$I$46</f>
        <v>0.05</v>
      </c>
    </row>
    <row r="86" spans="1:24" x14ac:dyDescent="0.25">
      <c r="A86" s="188">
        <f t="shared" si="23"/>
        <v>84</v>
      </c>
      <c r="B86" s="188" t="str">
        <f t="shared" si="20"/>
        <v>Input Energy Carrier</v>
      </c>
      <c r="C86" s="188" t="str">
        <f t="shared" si="24"/>
        <v>PJ</v>
      </c>
      <c r="D86" s="188" t="str">
        <f t="shared" si="24"/>
        <v>Electricity</v>
      </c>
      <c r="E86" s="194">
        <f>E85</f>
        <v>2050</v>
      </c>
      <c r="F86" s="194" t="str">
        <f t="shared" si="25"/>
        <v>max</v>
      </c>
      <c r="G86" s="188">
        <f t="shared" si="11"/>
        <v>0.03</v>
      </c>
      <c r="J86" s="191" t="s">
        <v>421</v>
      </c>
      <c r="K86" s="191" t="s">
        <v>422</v>
      </c>
      <c r="Q86" s="183" t="str" cm="1">
        <f t="array" ref="Q86:R87">'Technology Factsheet'!D49:E50</f>
        <v xml:space="preserve"> </v>
      </c>
      <c r="R86" s="183">
        <v>0</v>
      </c>
      <c r="V86" s="183" cm="1">
        <f t="array" ref="V86:X86">'Technology Factsheet'!$G$45:$I$45</f>
        <v>0.05</v>
      </c>
      <c r="W86" s="183">
        <v>0</v>
      </c>
      <c r="X86" s="183">
        <v>0</v>
      </c>
    </row>
    <row r="87" spans="1:24" x14ac:dyDescent="0.25">
      <c r="A87" s="188">
        <f t="shared" si="23"/>
        <v>85</v>
      </c>
      <c r="B87" s="188" t="str">
        <f t="shared" si="20"/>
        <v>Input Energy Carrier</v>
      </c>
      <c r="C87" s="188" t="str">
        <f t="shared" si="24"/>
        <v>PJ</v>
      </c>
      <c r="D87" s="188" t="str">
        <f t="shared" si="24"/>
        <v>Electricity</v>
      </c>
      <c r="E87" s="194">
        <f>E86</f>
        <v>2050</v>
      </c>
      <c r="F87" s="194" t="str">
        <f t="shared" si="25"/>
        <v>main</v>
      </c>
      <c r="G87" s="188">
        <f t="shared" si="11"/>
        <v>0.03</v>
      </c>
      <c r="J87" s="191" t="s">
        <v>421</v>
      </c>
      <c r="K87" s="191" t="s">
        <v>422</v>
      </c>
      <c r="Q87" s="183">
        <v>0</v>
      </c>
      <c r="R87" s="183">
        <v>0</v>
      </c>
      <c r="V87" s="183">
        <f>'Technology Factsheet'!$J$46</f>
        <v>0.04</v>
      </c>
    </row>
    <row r="88" spans="1:24" x14ac:dyDescent="0.25">
      <c r="A88" s="188">
        <f t="shared" si="23"/>
        <v>86</v>
      </c>
      <c r="B88" s="188" t="str">
        <f t="shared" si="20"/>
        <v>Input Energy Carrier</v>
      </c>
      <c r="C88" s="188" t="str">
        <f>Q84</f>
        <v>PJ</v>
      </c>
      <c r="D88" s="188" t="str">
        <f>Q82</f>
        <v>Geothermal heat</v>
      </c>
      <c r="E88" s="194">
        <f>$Q$38</f>
        <v>2020</v>
      </c>
      <c r="F88" s="194" t="s">
        <v>428</v>
      </c>
      <c r="G88" s="188">
        <f t="shared" si="11"/>
        <v>1</v>
      </c>
      <c r="J88" s="191" t="s">
        <v>421</v>
      </c>
      <c r="K88" s="191" t="s">
        <v>422</v>
      </c>
      <c r="Q88" s="183" t="str" cm="1">
        <f t="array" ref="Q88:Q89">'Technology Factsheet'!F49:F50</f>
        <v>PJ</v>
      </c>
      <c r="V88" s="183">
        <f>'Technology Factsheet'!$J$46</f>
        <v>0.04</v>
      </c>
    </row>
    <row r="89" spans="1:24" x14ac:dyDescent="0.25">
      <c r="A89" s="188">
        <f t="shared" si="23"/>
        <v>87</v>
      </c>
      <c r="B89" s="188" t="str">
        <f t="shared" si="20"/>
        <v>Input Energy Carrier</v>
      </c>
      <c r="C89" s="188" t="str">
        <f>C88</f>
        <v>PJ</v>
      </c>
      <c r="D89" s="188" t="str">
        <f>D88</f>
        <v>Geothermal heat</v>
      </c>
      <c r="E89" s="194">
        <f>E88</f>
        <v>2020</v>
      </c>
      <c r="F89" s="194" t="s">
        <v>429</v>
      </c>
      <c r="G89" s="188">
        <f t="shared" si="11"/>
        <v>1</v>
      </c>
      <c r="J89" s="191" t="s">
        <v>421</v>
      </c>
      <c r="K89" s="191" t="s">
        <v>422</v>
      </c>
      <c r="Q89" s="183">
        <v>0</v>
      </c>
      <c r="V89" s="183" cm="1">
        <f t="array" ref="V89:X89">'Technology Factsheet'!$J$45:$L$45</f>
        <v>0.04</v>
      </c>
      <c r="W89" s="183">
        <v>0</v>
      </c>
      <c r="X89" s="183">
        <v>0</v>
      </c>
    </row>
    <row r="90" spans="1:24" x14ac:dyDescent="0.25">
      <c r="A90" s="188">
        <f t="shared" si="23"/>
        <v>88</v>
      </c>
      <c r="B90" s="188" t="str">
        <f t="shared" si="20"/>
        <v>Input Energy Carrier</v>
      </c>
      <c r="C90" s="188" t="str">
        <f t="shared" ref="C90:D96" si="26">C89</f>
        <v>PJ</v>
      </c>
      <c r="D90" s="188" t="str">
        <f t="shared" si="26"/>
        <v>Geothermal heat</v>
      </c>
      <c r="E90" s="194">
        <f>E89</f>
        <v>2020</v>
      </c>
      <c r="F90" s="194" t="s">
        <v>430</v>
      </c>
      <c r="G90" s="188">
        <f t="shared" si="11"/>
        <v>1</v>
      </c>
      <c r="J90" s="191" t="s">
        <v>421</v>
      </c>
      <c r="K90" s="191" t="s">
        <v>422</v>
      </c>
      <c r="V90" s="183">
        <f>'Technology Factsheet'!$M$46</f>
        <v>0.03</v>
      </c>
    </row>
    <row r="91" spans="1:24" x14ac:dyDescent="0.25">
      <c r="A91" s="188">
        <f t="shared" si="23"/>
        <v>89</v>
      </c>
      <c r="B91" s="188" t="str">
        <f t="shared" si="20"/>
        <v>Output Energy Carrier</v>
      </c>
      <c r="C91" s="188" t="str">
        <f t="shared" si="26"/>
        <v>PJ</v>
      </c>
      <c r="D91" s="188" t="str">
        <f t="shared" si="26"/>
        <v>Geothermal heat</v>
      </c>
      <c r="E91" s="194">
        <f>$Q$40</f>
        <v>2030</v>
      </c>
      <c r="F91" s="194" t="str">
        <f>F88</f>
        <v>min</v>
      </c>
      <c r="G91" s="188">
        <f t="shared" si="11"/>
        <v>-1</v>
      </c>
      <c r="J91" s="191" t="s">
        <v>421</v>
      </c>
      <c r="K91" s="191" t="s">
        <v>422</v>
      </c>
      <c r="V91" s="183">
        <f>'Technology Factsheet'!$M$46</f>
        <v>0.03</v>
      </c>
    </row>
    <row r="92" spans="1:24" x14ac:dyDescent="0.25">
      <c r="A92" s="188">
        <f t="shared" si="23"/>
        <v>90</v>
      </c>
      <c r="B92" s="188" t="str">
        <f t="shared" si="20"/>
        <v>Output Energy Carrier</v>
      </c>
      <c r="C92" s="188" t="str">
        <f t="shared" si="26"/>
        <v>PJ</v>
      </c>
      <c r="D92" s="188" t="str">
        <f t="shared" si="26"/>
        <v>Geothermal heat</v>
      </c>
      <c r="E92" s="194">
        <f>E91</f>
        <v>2030</v>
      </c>
      <c r="F92" s="194" t="str">
        <f t="shared" ref="F92:F96" si="27">F89</f>
        <v>max</v>
      </c>
      <c r="G92" s="188">
        <f t="shared" si="11"/>
        <v>-1</v>
      </c>
      <c r="J92" s="191" t="s">
        <v>421</v>
      </c>
      <c r="K92" s="191" t="s">
        <v>422</v>
      </c>
      <c r="V92" s="183" cm="1">
        <f t="array" ref="V92:X92">'Technology Factsheet'!$M$45:$O$45</f>
        <v>0.03</v>
      </c>
      <c r="W92" s="183">
        <v>0</v>
      </c>
      <c r="X92" s="183">
        <v>0</v>
      </c>
    </row>
    <row r="93" spans="1:24" x14ac:dyDescent="0.25">
      <c r="A93" s="188">
        <f t="shared" si="23"/>
        <v>91</v>
      </c>
      <c r="B93" s="188" t="str">
        <f t="shared" si="20"/>
        <v>Output Energy Carrier</v>
      </c>
      <c r="C93" s="188" t="str">
        <f t="shared" si="26"/>
        <v>PJ</v>
      </c>
      <c r="D93" s="188" t="str">
        <f t="shared" si="26"/>
        <v>Geothermal heat</v>
      </c>
      <c r="E93" s="194">
        <f>E92</f>
        <v>2030</v>
      </c>
      <c r="F93" s="194" t="str">
        <f t="shared" si="27"/>
        <v>main</v>
      </c>
      <c r="G93" s="188">
        <f t="shared" si="11"/>
        <v>-1</v>
      </c>
      <c r="J93" s="191" t="s">
        <v>421</v>
      </c>
      <c r="K93" s="191" t="s">
        <v>422</v>
      </c>
      <c r="V93" s="183">
        <f>'Technology Factsheet'!$G$48</f>
        <v>1</v>
      </c>
    </row>
    <row r="94" spans="1:24" x14ac:dyDescent="0.25">
      <c r="A94" s="188">
        <f t="shared" si="23"/>
        <v>92</v>
      </c>
      <c r="B94" s="188" t="str">
        <f t="shared" si="20"/>
        <v>Output Energy Carrier</v>
      </c>
      <c r="C94" s="188" t="str">
        <f t="shared" si="26"/>
        <v>PJ</v>
      </c>
      <c r="D94" s="188" t="str">
        <f t="shared" si="26"/>
        <v>Geothermal heat</v>
      </c>
      <c r="E94" s="194">
        <f>$Q$41</f>
        <v>2050</v>
      </c>
      <c r="F94" s="194" t="str">
        <f t="shared" si="27"/>
        <v>min</v>
      </c>
      <c r="G94" s="188">
        <f t="shared" si="11"/>
        <v>-1</v>
      </c>
      <c r="J94" s="191" t="s">
        <v>421</v>
      </c>
      <c r="K94" s="191" t="s">
        <v>422</v>
      </c>
      <c r="V94" s="183">
        <f>'Technology Factsheet'!$I$48</f>
        <v>1</v>
      </c>
    </row>
    <row r="95" spans="1:24" x14ac:dyDescent="0.25">
      <c r="A95" s="188">
        <f t="shared" si="23"/>
        <v>93</v>
      </c>
      <c r="B95" s="188" t="str">
        <f t="shared" si="20"/>
        <v>Output Energy Carrier</v>
      </c>
      <c r="C95" s="188" t="str">
        <f t="shared" si="26"/>
        <v>PJ</v>
      </c>
      <c r="D95" s="188" t="str">
        <f t="shared" si="26"/>
        <v>Geothermal heat</v>
      </c>
      <c r="E95" s="194">
        <f>E94</f>
        <v>2050</v>
      </c>
      <c r="F95" s="194" t="str">
        <f t="shared" si="27"/>
        <v>max</v>
      </c>
      <c r="G95" s="188">
        <f t="shared" si="11"/>
        <v>-1</v>
      </c>
      <c r="J95" s="191" t="s">
        <v>421</v>
      </c>
      <c r="K95" s="191" t="s">
        <v>422</v>
      </c>
      <c r="V95" s="183" cm="1">
        <f t="array" ref="V95:X95">'Technology Factsheet'!$G$47:$I$47</f>
        <v>1</v>
      </c>
      <c r="W95" s="183">
        <v>0</v>
      </c>
      <c r="X95" s="183">
        <v>0</v>
      </c>
    </row>
    <row r="96" spans="1:24" x14ac:dyDescent="0.25">
      <c r="A96" s="188">
        <f t="shared" si="23"/>
        <v>94</v>
      </c>
      <c r="B96" s="188" t="str">
        <f t="shared" si="20"/>
        <v>Output Energy Carrier</v>
      </c>
      <c r="C96" s="188" t="str">
        <f t="shared" si="26"/>
        <v>PJ</v>
      </c>
      <c r="D96" s="188" t="str">
        <f t="shared" si="26"/>
        <v>Geothermal heat</v>
      </c>
      <c r="E96" s="194">
        <f>E95</f>
        <v>2050</v>
      </c>
      <c r="F96" s="194" t="str">
        <f t="shared" si="27"/>
        <v>main</v>
      </c>
      <c r="G96" s="188">
        <f t="shared" si="11"/>
        <v>-1</v>
      </c>
      <c r="J96" s="191" t="s">
        <v>421</v>
      </c>
      <c r="K96" s="191" t="s">
        <v>422</v>
      </c>
      <c r="V96" s="183">
        <f>'Technology Factsheet'!$J$48</f>
        <v>-1</v>
      </c>
    </row>
    <row r="97" spans="1:24" x14ac:dyDescent="0.25">
      <c r="A97" s="188">
        <f t="shared" si="23"/>
        <v>95</v>
      </c>
      <c r="B97" s="188" t="str">
        <f t="shared" si="20"/>
        <v>Input Energy Carrier</v>
      </c>
      <c r="C97" s="188" t="str">
        <f>Q88</f>
        <v>PJ</v>
      </c>
      <c r="D97" s="188" t="str">
        <f>Q86</f>
        <v xml:space="preserve"> </v>
      </c>
      <c r="E97" s="194">
        <f>$Q$38</f>
        <v>2020</v>
      </c>
      <c r="F97" s="194" t="s">
        <v>428</v>
      </c>
      <c r="G97" s="188" t="str">
        <f t="shared" si="11"/>
        <v>-</v>
      </c>
      <c r="J97" s="191" t="s">
        <v>421</v>
      </c>
      <c r="K97" s="191" t="s">
        <v>422</v>
      </c>
      <c r="V97" s="183">
        <f>'Technology Factsheet'!$L$48</f>
        <v>-1</v>
      </c>
    </row>
    <row r="98" spans="1:24" x14ac:dyDescent="0.25">
      <c r="A98" s="188">
        <f t="shared" si="23"/>
        <v>96</v>
      </c>
      <c r="B98" s="188" t="str">
        <f t="shared" si="20"/>
        <v>Input Energy Carrier</v>
      </c>
      <c r="C98" s="188" t="str">
        <f>C97</f>
        <v>PJ</v>
      </c>
      <c r="D98" s="188" t="str">
        <f>D97</f>
        <v xml:space="preserve"> </v>
      </c>
      <c r="E98" s="194">
        <f>E97</f>
        <v>2020</v>
      </c>
      <c r="F98" s="194" t="s">
        <v>429</v>
      </c>
      <c r="G98" s="188" t="str">
        <f t="shared" ref="G98:G161" si="28">IF(OR(V103="Min", V103="Max", V103=0),"-",V103)</f>
        <v>-</v>
      </c>
      <c r="J98" s="191" t="s">
        <v>421</v>
      </c>
      <c r="K98" s="191" t="s">
        <v>422</v>
      </c>
      <c r="V98" s="183" cm="1">
        <f t="array" ref="V98:X98">'Technology Factsheet'!$J$47:$L$47</f>
        <v>-1</v>
      </c>
      <c r="W98" s="183">
        <v>0</v>
      </c>
      <c r="X98" s="183">
        <v>0</v>
      </c>
    </row>
    <row r="99" spans="1:24" x14ac:dyDescent="0.25">
      <c r="A99" s="188">
        <f t="shared" si="23"/>
        <v>97</v>
      </c>
      <c r="B99" s="188" t="str">
        <f t="shared" si="20"/>
        <v>Input Energy Carrier</v>
      </c>
      <c r="C99" s="188" t="str">
        <f t="shared" ref="C99:D105" si="29">C98</f>
        <v>PJ</v>
      </c>
      <c r="D99" s="188" t="str">
        <f t="shared" si="29"/>
        <v xml:space="preserve"> </v>
      </c>
      <c r="E99" s="194">
        <f>E98</f>
        <v>2020</v>
      </c>
      <c r="F99" s="194" t="s">
        <v>430</v>
      </c>
      <c r="G99" s="188" t="str">
        <f t="shared" si="28"/>
        <v>-</v>
      </c>
      <c r="J99" s="191" t="s">
        <v>421</v>
      </c>
      <c r="K99" s="191" t="s">
        <v>422</v>
      </c>
      <c r="V99" s="183">
        <f>'Technology Factsheet'!$M$48</f>
        <v>-1</v>
      </c>
    </row>
    <row r="100" spans="1:24" x14ac:dyDescent="0.25">
      <c r="A100" s="188">
        <f t="shared" si="23"/>
        <v>98</v>
      </c>
      <c r="B100" s="188" t="str">
        <f t="shared" si="20"/>
        <v>Input Energy Carrier</v>
      </c>
      <c r="C100" s="188" t="str">
        <f t="shared" si="29"/>
        <v>PJ</v>
      </c>
      <c r="D100" s="188" t="str">
        <f t="shared" si="29"/>
        <v xml:space="preserve"> </v>
      </c>
      <c r="E100" s="194">
        <f>$Q$40</f>
        <v>2030</v>
      </c>
      <c r="F100" s="194" t="str">
        <f>F97</f>
        <v>min</v>
      </c>
      <c r="G100" s="188" t="str">
        <f t="shared" si="28"/>
        <v>-</v>
      </c>
      <c r="J100" s="191" t="s">
        <v>421</v>
      </c>
      <c r="K100" s="191" t="s">
        <v>422</v>
      </c>
      <c r="V100" s="183">
        <f>'Technology Factsheet'!$O$48</f>
        <v>-1</v>
      </c>
    </row>
    <row r="101" spans="1:24" x14ac:dyDescent="0.25">
      <c r="A101" s="188">
        <f t="shared" si="23"/>
        <v>99</v>
      </c>
      <c r="B101" s="188" t="str">
        <f t="shared" si="20"/>
        <v>Input Energy Carrier</v>
      </c>
      <c r="C101" s="188" t="str">
        <f t="shared" si="29"/>
        <v>PJ</v>
      </c>
      <c r="D101" s="188" t="str">
        <f t="shared" si="29"/>
        <v xml:space="preserve"> </v>
      </c>
      <c r="E101" s="194">
        <f>E100</f>
        <v>2030</v>
      </c>
      <c r="F101" s="194" t="str">
        <f t="shared" ref="F101:F105" si="30">F98</f>
        <v>max</v>
      </c>
      <c r="G101" s="188" t="str">
        <f t="shared" si="28"/>
        <v>-</v>
      </c>
      <c r="J101" s="191" t="s">
        <v>421</v>
      </c>
      <c r="K101" s="191" t="s">
        <v>422</v>
      </c>
      <c r="V101" s="183" cm="1">
        <f t="array" ref="V101:X101">'Technology Factsheet'!$M$47:$O$47</f>
        <v>-1</v>
      </c>
      <c r="W101" s="183">
        <v>0</v>
      </c>
      <c r="X101" s="183">
        <v>0</v>
      </c>
    </row>
    <row r="102" spans="1:24" x14ac:dyDescent="0.25">
      <c r="A102" s="188">
        <f t="shared" si="23"/>
        <v>100</v>
      </c>
      <c r="B102" s="188" t="str">
        <f t="shared" si="20"/>
        <v>Input Energy Carrier</v>
      </c>
      <c r="C102" s="188" t="str">
        <f t="shared" si="29"/>
        <v>PJ</v>
      </c>
      <c r="D102" s="188" t="str">
        <f t="shared" si="29"/>
        <v xml:space="preserve"> </v>
      </c>
      <c r="E102" s="194">
        <f>E101</f>
        <v>2030</v>
      </c>
      <c r="F102" s="194" t="str">
        <f t="shared" si="30"/>
        <v>main</v>
      </c>
      <c r="G102" s="188" t="str">
        <f t="shared" si="28"/>
        <v>-</v>
      </c>
      <c r="J102" s="191" t="s">
        <v>421</v>
      </c>
      <c r="K102" s="191" t="s">
        <v>422</v>
      </c>
      <c r="V102" s="183" t="str">
        <f>'Technology Factsheet'!$G$50</f>
        <v>Min</v>
      </c>
    </row>
    <row r="103" spans="1:24" x14ac:dyDescent="0.25">
      <c r="A103" s="188">
        <f t="shared" si="23"/>
        <v>101</v>
      </c>
      <c r="B103" s="188" t="str">
        <f t="shared" si="20"/>
        <v>Input Energy Carrier</v>
      </c>
      <c r="C103" s="188" t="str">
        <f t="shared" si="29"/>
        <v>PJ</v>
      </c>
      <c r="D103" s="188" t="str">
        <f t="shared" si="29"/>
        <v xml:space="preserve"> </v>
      </c>
      <c r="E103" s="194">
        <f>$Q$41</f>
        <v>2050</v>
      </c>
      <c r="F103" s="194" t="str">
        <f t="shared" si="30"/>
        <v>min</v>
      </c>
      <c r="G103" s="188" t="str">
        <f t="shared" si="28"/>
        <v>-</v>
      </c>
      <c r="J103" s="191" t="s">
        <v>421</v>
      </c>
      <c r="K103" s="191" t="s">
        <v>422</v>
      </c>
      <c r="V103" s="183" t="str">
        <f>'Technology Factsheet'!$I$50</f>
        <v>Max</v>
      </c>
    </row>
    <row r="104" spans="1:24" x14ac:dyDescent="0.25">
      <c r="A104" s="188">
        <f t="shared" si="23"/>
        <v>102</v>
      </c>
      <c r="B104" s="188" t="str">
        <f t="shared" si="20"/>
        <v>Input Energy Carrier</v>
      </c>
      <c r="C104" s="188" t="str">
        <f t="shared" si="29"/>
        <v>PJ</v>
      </c>
      <c r="D104" s="188" t="str">
        <f t="shared" si="29"/>
        <v xml:space="preserve"> </v>
      </c>
      <c r="E104" s="194">
        <f>E103</f>
        <v>2050</v>
      </c>
      <c r="F104" s="194" t="str">
        <f t="shared" si="30"/>
        <v>max</v>
      </c>
      <c r="G104" s="188" t="str">
        <f t="shared" si="28"/>
        <v>-</v>
      </c>
      <c r="J104" s="191" t="s">
        <v>421</v>
      </c>
      <c r="K104" s="191" t="s">
        <v>422</v>
      </c>
      <c r="V104" s="183" cm="1">
        <f t="array" ref="V104:X104">'Technology Factsheet'!$G$49:$I$49</f>
        <v>0</v>
      </c>
      <c r="W104" s="183">
        <v>0</v>
      </c>
      <c r="X104" s="183">
        <v>0</v>
      </c>
    </row>
    <row r="105" spans="1:24" x14ac:dyDescent="0.25">
      <c r="A105" s="188">
        <f t="shared" si="23"/>
        <v>103</v>
      </c>
      <c r="B105" s="188" t="str">
        <f t="shared" si="20"/>
        <v>Input Energy Carrier</v>
      </c>
      <c r="C105" s="188" t="str">
        <f t="shared" si="29"/>
        <v>PJ</v>
      </c>
      <c r="D105" s="188" t="str">
        <f t="shared" si="29"/>
        <v xml:space="preserve"> </v>
      </c>
      <c r="E105" s="194">
        <f>E104</f>
        <v>2050</v>
      </c>
      <c r="F105" s="194" t="str">
        <f t="shared" si="30"/>
        <v>main</v>
      </c>
      <c r="G105" s="188" t="str">
        <f t="shared" si="28"/>
        <v>-</v>
      </c>
      <c r="J105" s="191" t="s">
        <v>421</v>
      </c>
      <c r="K105" s="191" t="s">
        <v>422</v>
      </c>
      <c r="V105" s="183" t="str">
        <f>'Technology Factsheet'!$J$50</f>
        <v>Min</v>
      </c>
    </row>
    <row r="106" spans="1:24" x14ac:dyDescent="0.25">
      <c r="A106" s="188">
        <f t="shared" si="23"/>
        <v>104</v>
      </c>
      <c r="B106" s="188" t="str">
        <f>IF(G106&gt;0,"Input Material Flow",IF(G106&lt;0,"Output Material Flow",""))</f>
        <v>Input Material Flow</v>
      </c>
      <c r="C106" s="188" t="str">
        <f>Q113</f>
        <v xml:space="preserve"> </v>
      </c>
      <c r="D106" s="188" t="str">
        <f>Q111</f>
        <v xml:space="preserve"> </v>
      </c>
      <c r="E106" s="194">
        <f>$Q$38</f>
        <v>2020</v>
      </c>
      <c r="F106" s="194" t="s">
        <v>428</v>
      </c>
      <c r="G106" s="188" t="str">
        <f t="shared" si="28"/>
        <v>-</v>
      </c>
      <c r="J106" s="191" t="s">
        <v>421</v>
      </c>
      <c r="K106" s="191" t="s">
        <v>422</v>
      </c>
      <c r="V106" s="183" t="str">
        <f>'Technology Factsheet'!$L$50</f>
        <v>Max</v>
      </c>
    </row>
    <row r="107" spans="1:24" x14ac:dyDescent="0.25">
      <c r="A107" s="188">
        <f t="shared" si="23"/>
        <v>105</v>
      </c>
      <c r="B107" s="188" t="str">
        <f t="shared" ref="B107:B123" si="31">IF(G107&gt;0,"Input Material Flow",IF(G107&lt;0,"Output Material Flow",""))</f>
        <v>Input Material Flow</v>
      </c>
      <c r="C107" s="188" t="str">
        <f>C106</f>
        <v xml:space="preserve"> </v>
      </c>
      <c r="D107" s="188" t="str">
        <f>D106</f>
        <v xml:space="preserve"> </v>
      </c>
      <c r="E107" s="194">
        <f>E106</f>
        <v>2020</v>
      </c>
      <c r="F107" s="194" t="s">
        <v>429</v>
      </c>
      <c r="G107" s="188" t="str">
        <f t="shared" si="28"/>
        <v>-</v>
      </c>
      <c r="J107" s="191" t="s">
        <v>421</v>
      </c>
      <c r="K107" s="191" t="s">
        <v>422</v>
      </c>
      <c r="V107" s="183" cm="1">
        <f t="array" ref="V107:X107">'Technology Factsheet'!$J$49:$L$49</f>
        <v>0</v>
      </c>
      <c r="W107" s="183">
        <v>0</v>
      </c>
      <c r="X107" s="183">
        <v>0</v>
      </c>
    </row>
    <row r="108" spans="1:24" x14ac:dyDescent="0.25">
      <c r="A108" s="188">
        <f t="shared" si="23"/>
        <v>106</v>
      </c>
      <c r="B108" s="188" t="str">
        <f t="shared" si="31"/>
        <v>Input Material Flow</v>
      </c>
      <c r="C108" s="188" t="str">
        <f t="shared" ref="C108:D114" si="32">C107</f>
        <v xml:space="preserve"> </v>
      </c>
      <c r="D108" s="188" t="str">
        <f t="shared" si="32"/>
        <v xml:space="preserve"> </v>
      </c>
      <c r="E108" s="194">
        <f>E107</f>
        <v>2020</v>
      </c>
      <c r="F108" s="194" t="s">
        <v>430</v>
      </c>
      <c r="G108" s="188" t="str">
        <f t="shared" si="28"/>
        <v>-</v>
      </c>
      <c r="J108" s="191" t="s">
        <v>421</v>
      </c>
      <c r="K108" s="191" t="s">
        <v>422</v>
      </c>
      <c r="V108" s="183" t="str">
        <f>'Technology Factsheet'!$M$50</f>
        <v>Min</v>
      </c>
    </row>
    <row r="109" spans="1:24" x14ac:dyDescent="0.25">
      <c r="A109" s="188">
        <f t="shared" si="23"/>
        <v>107</v>
      </c>
      <c r="B109" s="188" t="str">
        <f t="shared" si="31"/>
        <v>Input Material Flow</v>
      </c>
      <c r="C109" s="188" t="str">
        <f t="shared" si="32"/>
        <v xml:space="preserve"> </v>
      </c>
      <c r="D109" s="188" t="str">
        <f t="shared" si="32"/>
        <v xml:space="preserve"> </v>
      </c>
      <c r="E109" s="194">
        <f>$Q$40</f>
        <v>2030</v>
      </c>
      <c r="F109" s="194" t="str">
        <f>F106</f>
        <v>min</v>
      </c>
      <c r="G109" s="188" t="str">
        <f t="shared" si="28"/>
        <v>-</v>
      </c>
      <c r="J109" s="191" t="s">
        <v>421</v>
      </c>
      <c r="K109" s="191" t="s">
        <v>422</v>
      </c>
      <c r="V109" s="183" t="str">
        <f>'Technology Factsheet'!$O$50</f>
        <v>Max</v>
      </c>
    </row>
    <row r="110" spans="1:24" x14ac:dyDescent="0.25">
      <c r="A110" s="188">
        <f t="shared" si="23"/>
        <v>108</v>
      </c>
      <c r="B110" s="188" t="str">
        <f t="shared" si="31"/>
        <v>Input Material Flow</v>
      </c>
      <c r="C110" s="188" t="str">
        <f t="shared" si="32"/>
        <v xml:space="preserve"> </v>
      </c>
      <c r="D110" s="188" t="str">
        <f t="shared" si="32"/>
        <v xml:space="preserve"> </v>
      </c>
      <c r="E110" s="194">
        <f>E109</f>
        <v>2030</v>
      </c>
      <c r="F110" s="194" t="str">
        <f t="shared" ref="F110:F114" si="33">F107</f>
        <v>max</v>
      </c>
      <c r="G110" s="188" t="str">
        <f t="shared" si="28"/>
        <v>-</v>
      </c>
      <c r="J110" s="191" t="s">
        <v>421</v>
      </c>
      <c r="K110" s="191" t="s">
        <v>422</v>
      </c>
      <c r="V110" s="183" cm="1">
        <f t="array" ref="V110:X110">'Technology Factsheet'!$M$49:$O$49</f>
        <v>0</v>
      </c>
      <c r="W110" s="183">
        <v>0</v>
      </c>
      <c r="X110" s="183">
        <v>0</v>
      </c>
    </row>
    <row r="111" spans="1:24" x14ac:dyDescent="0.25">
      <c r="A111" s="188">
        <f t="shared" si="23"/>
        <v>109</v>
      </c>
      <c r="B111" s="188" t="str">
        <f t="shared" si="31"/>
        <v>Input Material Flow</v>
      </c>
      <c r="C111" s="188" t="str">
        <f t="shared" si="32"/>
        <v xml:space="preserve"> </v>
      </c>
      <c r="D111" s="188" t="str">
        <f t="shared" si="32"/>
        <v xml:space="preserve"> </v>
      </c>
      <c r="E111" s="194">
        <f>E110</f>
        <v>2030</v>
      </c>
      <c r="F111" s="194" t="str">
        <f t="shared" si="33"/>
        <v>main</v>
      </c>
      <c r="G111" s="188" t="str">
        <f t="shared" si="28"/>
        <v>-</v>
      </c>
      <c r="J111" s="191" t="s">
        <v>421</v>
      </c>
      <c r="K111" s="191" t="s">
        <v>422</v>
      </c>
      <c r="P111" s="183" t="s">
        <v>334</v>
      </c>
      <c r="Q111" s="183" t="str" cm="1">
        <f t="array" ref="Q111:R112">'Technology Factsheet'!D54:E55</f>
        <v xml:space="preserve"> </v>
      </c>
      <c r="R111" s="183">
        <v>0</v>
      </c>
      <c r="U111" s="183" t="s">
        <v>334</v>
      </c>
      <c r="V111" s="183" t="str">
        <f>'Technology Factsheet'!G55</f>
        <v>Min</v>
      </c>
    </row>
    <row r="112" spans="1:24" x14ac:dyDescent="0.25">
      <c r="A112" s="188">
        <f t="shared" si="23"/>
        <v>110</v>
      </c>
      <c r="B112" s="188" t="str">
        <f t="shared" si="31"/>
        <v>Input Material Flow</v>
      </c>
      <c r="C112" s="188" t="str">
        <f t="shared" si="32"/>
        <v xml:space="preserve"> </v>
      </c>
      <c r="D112" s="188" t="str">
        <f t="shared" si="32"/>
        <v xml:space="preserve"> </v>
      </c>
      <c r="E112" s="194">
        <f>$Q$41</f>
        <v>2050</v>
      </c>
      <c r="F112" s="194" t="str">
        <f t="shared" si="33"/>
        <v>min</v>
      </c>
      <c r="G112" s="188" t="str">
        <f t="shared" si="28"/>
        <v>-</v>
      </c>
      <c r="J112" s="191" t="s">
        <v>421</v>
      </c>
      <c r="K112" s="191" t="s">
        <v>422</v>
      </c>
      <c r="Q112" s="183">
        <v>0</v>
      </c>
      <c r="R112" s="183">
        <v>0</v>
      </c>
      <c r="V112" s="183" t="str">
        <f>'Technology Factsheet'!I55</f>
        <v>Max</v>
      </c>
    </row>
    <row r="113" spans="1:24" x14ac:dyDescent="0.25">
      <c r="A113" s="188">
        <f t="shared" si="23"/>
        <v>111</v>
      </c>
      <c r="B113" s="188" t="str">
        <f t="shared" si="31"/>
        <v>Input Material Flow</v>
      </c>
      <c r="C113" s="188" t="str">
        <f t="shared" si="32"/>
        <v xml:space="preserve"> </v>
      </c>
      <c r="D113" s="188" t="str">
        <f t="shared" si="32"/>
        <v xml:space="preserve"> </v>
      </c>
      <c r="E113" s="194">
        <f>E112</f>
        <v>2050</v>
      </c>
      <c r="F113" s="194" t="str">
        <f t="shared" si="33"/>
        <v>max</v>
      </c>
      <c r="G113" s="188" t="str">
        <f t="shared" si="28"/>
        <v>-</v>
      </c>
      <c r="J113" s="191" t="s">
        <v>421</v>
      </c>
      <c r="K113" s="191" t="s">
        <v>422</v>
      </c>
      <c r="Q113" s="183" t="str" cm="1">
        <f t="array" ref="Q113:Q114">'Technology Factsheet'!F54:F55</f>
        <v xml:space="preserve"> </v>
      </c>
      <c r="V113" s="183" cm="1">
        <f t="array" ref="V113:X113">'Technology Factsheet'!G54:I54</f>
        <v>0</v>
      </c>
      <c r="W113" s="183">
        <v>0</v>
      </c>
      <c r="X113" s="183">
        <v>0</v>
      </c>
    </row>
    <row r="114" spans="1:24" x14ac:dyDescent="0.25">
      <c r="A114" s="188">
        <f t="shared" si="23"/>
        <v>112</v>
      </c>
      <c r="B114" s="188" t="str">
        <f t="shared" si="31"/>
        <v>Input Material Flow</v>
      </c>
      <c r="C114" s="188" t="str">
        <f t="shared" si="32"/>
        <v xml:space="preserve"> </v>
      </c>
      <c r="D114" s="188" t="str">
        <f t="shared" si="32"/>
        <v xml:space="preserve"> </v>
      </c>
      <c r="E114" s="194">
        <f>E113</f>
        <v>2050</v>
      </c>
      <c r="F114" s="194" t="str">
        <f t="shared" si="33"/>
        <v>main</v>
      </c>
      <c r="G114" s="188" t="str">
        <f t="shared" si="28"/>
        <v>-</v>
      </c>
      <c r="J114" s="191" t="s">
        <v>421</v>
      </c>
      <c r="K114" s="191" t="s">
        <v>422</v>
      </c>
      <c r="Q114" s="183">
        <v>0</v>
      </c>
      <c r="U114" s="183">
        <v>2030</v>
      </c>
      <c r="V114" s="183" t="str">
        <f>'Technology Factsheet'!J55</f>
        <v>Min</v>
      </c>
    </row>
    <row r="115" spans="1:24" x14ac:dyDescent="0.25">
      <c r="A115" s="188">
        <f t="shared" si="23"/>
        <v>113</v>
      </c>
      <c r="B115" s="188" t="str">
        <f t="shared" si="31"/>
        <v>Input Material Flow</v>
      </c>
      <c r="C115" s="188" t="str">
        <f>Q117</f>
        <v xml:space="preserve"> </v>
      </c>
      <c r="D115" s="188" t="str">
        <f>Q115</f>
        <v xml:space="preserve"> </v>
      </c>
      <c r="E115" s="194">
        <f>$Q$38</f>
        <v>2020</v>
      </c>
      <c r="F115" s="194" t="s">
        <v>428</v>
      </c>
      <c r="G115" s="188" t="str">
        <f t="shared" si="28"/>
        <v>-</v>
      </c>
      <c r="J115" s="191" t="s">
        <v>421</v>
      </c>
      <c r="K115" s="191" t="s">
        <v>422</v>
      </c>
      <c r="Q115" s="183" t="str" cm="1">
        <f t="array" ref="Q115:R116">'Technology Factsheet'!D56:E57</f>
        <v xml:space="preserve"> </v>
      </c>
      <c r="R115" s="183">
        <v>0</v>
      </c>
      <c r="V115" s="183" t="str">
        <f>'Technology Factsheet'!L55</f>
        <v>Max</v>
      </c>
    </row>
    <row r="116" spans="1:24" x14ac:dyDescent="0.25">
      <c r="A116" s="188">
        <f t="shared" si="23"/>
        <v>114</v>
      </c>
      <c r="B116" s="188" t="str">
        <f t="shared" si="31"/>
        <v>Input Material Flow</v>
      </c>
      <c r="C116" s="188" t="str">
        <f>C115</f>
        <v xml:space="preserve"> </v>
      </c>
      <c r="D116" s="188" t="str">
        <f>D115</f>
        <v xml:space="preserve"> </v>
      </c>
      <c r="E116" s="194">
        <f>E115</f>
        <v>2020</v>
      </c>
      <c r="F116" s="194" t="s">
        <v>429</v>
      </c>
      <c r="G116" s="188" t="str">
        <f t="shared" si="28"/>
        <v>-</v>
      </c>
      <c r="J116" s="191" t="s">
        <v>421</v>
      </c>
      <c r="K116" s="191" t="s">
        <v>422</v>
      </c>
      <c r="Q116" s="183">
        <v>0</v>
      </c>
      <c r="R116" s="183">
        <v>0</v>
      </c>
      <c r="V116" s="183" cm="1">
        <f t="array" ref="V116:X116">'Technology Factsheet'!J54:L54</f>
        <v>0</v>
      </c>
      <c r="W116" s="183">
        <v>0</v>
      </c>
      <c r="X116" s="183">
        <v>0</v>
      </c>
    </row>
    <row r="117" spans="1:24" x14ac:dyDescent="0.25">
      <c r="A117" s="188">
        <f t="shared" si="23"/>
        <v>115</v>
      </c>
      <c r="B117" s="188" t="str">
        <f t="shared" si="31"/>
        <v>Input Material Flow</v>
      </c>
      <c r="C117" s="188" t="str">
        <f t="shared" ref="C117:D123" si="34">C116</f>
        <v xml:space="preserve"> </v>
      </c>
      <c r="D117" s="188" t="str">
        <f t="shared" si="34"/>
        <v xml:space="preserve"> </v>
      </c>
      <c r="E117" s="194">
        <f>E116</f>
        <v>2020</v>
      </c>
      <c r="F117" s="194" t="s">
        <v>430</v>
      </c>
      <c r="G117" s="188" t="str">
        <f t="shared" si="28"/>
        <v>-</v>
      </c>
      <c r="J117" s="191" t="s">
        <v>421</v>
      </c>
      <c r="K117" s="191" t="s">
        <v>422</v>
      </c>
      <c r="Q117" s="183" t="str" cm="1">
        <f t="array" ref="Q117:Q118">'Technology Factsheet'!F56:F57</f>
        <v xml:space="preserve"> </v>
      </c>
      <c r="U117" s="183">
        <v>2050</v>
      </c>
      <c r="V117" s="183" t="str">
        <f>'Technology Factsheet'!M55</f>
        <v>Min</v>
      </c>
    </row>
    <row r="118" spans="1:24" x14ac:dyDescent="0.25">
      <c r="A118" s="188">
        <f t="shared" si="23"/>
        <v>116</v>
      </c>
      <c r="B118" s="188" t="str">
        <f t="shared" si="31"/>
        <v>Input Material Flow</v>
      </c>
      <c r="C118" s="188" t="str">
        <f t="shared" si="34"/>
        <v xml:space="preserve"> </v>
      </c>
      <c r="D118" s="188" t="str">
        <f t="shared" si="34"/>
        <v xml:space="preserve"> </v>
      </c>
      <c r="E118" s="194">
        <f>$Q$40</f>
        <v>2030</v>
      </c>
      <c r="F118" s="194" t="str">
        <f>F115</f>
        <v>min</v>
      </c>
      <c r="G118" s="188" t="str">
        <f t="shared" si="28"/>
        <v>-</v>
      </c>
      <c r="J118" s="191" t="s">
        <v>421</v>
      </c>
      <c r="K118" s="191" t="s">
        <v>422</v>
      </c>
      <c r="Q118" s="183">
        <v>0</v>
      </c>
      <c r="V118" s="183" t="str">
        <f>'Technology Factsheet'!O55</f>
        <v>Max</v>
      </c>
    </row>
    <row r="119" spans="1:24" x14ac:dyDescent="0.25">
      <c r="A119" s="188">
        <f t="shared" si="23"/>
        <v>117</v>
      </c>
      <c r="B119" s="188" t="str">
        <f t="shared" si="31"/>
        <v>Input Material Flow</v>
      </c>
      <c r="C119" s="188" t="str">
        <f t="shared" si="34"/>
        <v xml:space="preserve"> </v>
      </c>
      <c r="D119" s="188" t="str">
        <f t="shared" si="34"/>
        <v xml:space="preserve"> </v>
      </c>
      <c r="E119" s="194">
        <f>E118</f>
        <v>2030</v>
      </c>
      <c r="F119" s="194" t="str">
        <f t="shared" ref="F119:F123" si="35">F116</f>
        <v>max</v>
      </c>
      <c r="G119" s="188" t="str">
        <f t="shared" si="28"/>
        <v>-</v>
      </c>
      <c r="J119" s="191" t="s">
        <v>421</v>
      </c>
      <c r="K119" s="191" t="s">
        <v>422</v>
      </c>
      <c r="V119" s="183" cm="1">
        <f t="array" ref="V119:X119">'Technology Factsheet'!M54:O54</f>
        <v>0</v>
      </c>
      <c r="W119" s="183">
        <v>0</v>
      </c>
      <c r="X119" s="183">
        <v>0</v>
      </c>
    </row>
    <row r="120" spans="1:24" x14ac:dyDescent="0.25">
      <c r="A120" s="188">
        <f t="shared" si="23"/>
        <v>118</v>
      </c>
      <c r="B120" s="188" t="str">
        <f t="shared" si="31"/>
        <v>Input Material Flow</v>
      </c>
      <c r="C120" s="188" t="str">
        <f t="shared" si="34"/>
        <v xml:space="preserve"> </v>
      </c>
      <c r="D120" s="188" t="str">
        <f t="shared" si="34"/>
        <v xml:space="preserve"> </v>
      </c>
      <c r="E120" s="194">
        <f>E119</f>
        <v>2030</v>
      </c>
      <c r="F120" s="194" t="str">
        <f t="shared" si="35"/>
        <v>main</v>
      </c>
      <c r="G120" s="188" t="str">
        <f t="shared" si="28"/>
        <v>-</v>
      </c>
      <c r="J120" s="191" t="s">
        <v>421</v>
      </c>
      <c r="K120" s="191" t="s">
        <v>422</v>
      </c>
      <c r="V120" s="183" t="str">
        <f>'Technology Factsheet'!G57</f>
        <v>Min</v>
      </c>
    </row>
    <row r="121" spans="1:24" x14ac:dyDescent="0.25">
      <c r="A121" s="188">
        <f t="shared" si="23"/>
        <v>119</v>
      </c>
      <c r="B121" s="188" t="str">
        <f t="shared" si="31"/>
        <v>Input Material Flow</v>
      </c>
      <c r="C121" s="188" t="str">
        <f t="shared" si="34"/>
        <v xml:space="preserve"> </v>
      </c>
      <c r="D121" s="188" t="str">
        <f t="shared" si="34"/>
        <v xml:space="preserve"> </v>
      </c>
      <c r="E121" s="194">
        <f>$Q$41</f>
        <v>2050</v>
      </c>
      <c r="F121" s="194" t="str">
        <f t="shared" si="35"/>
        <v>min</v>
      </c>
      <c r="G121" s="188" t="str">
        <f t="shared" si="28"/>
        <v>-</v>
      </c>
      <c r="J121" s="191" t="s">
        <v>421</v>
      </c>
      <c r="K121" s="191" t="s">
        <v>422</v>
      </c>
      <c r="V121" s="183" t="str">
        <f>'Technology Factsheet'!I57</f>
        <v>Max</v>
      </c>
    </row>
    <row r="122" spans="1:24" x14ac:dyDescent="0.25">
      <c r="A122" s="188">
        <f t="shared" si="23"/>
        <v>120</v>
      </c>
      <c r="B122" s="188" t="str">
        <f t="shared" si="31"/>
        <v>Input Material Flow</v>
      </c>
      <c r="C122" s="188" t="str">
        <f t="shared" si="34"/>
        <v xml:space="preserve"> </v>
      </c>
      <c r="D122" s="188" t="str">
        <f t="shared" si="34"/>
        <v xml:space="preserve"> </v>
      </c>
      <c r="E122" s="194">
        <f>E121</f>
        <v>2050</v>
      </c>
      <c r="F122" s="194" t="str">
        <f t="shared" si="35"/>
        <v>max</v>
      </c>
      <c r="G122" s="188" t="str">
        <f t="shared" si="28"/>
        <v>-</v>
      </c>
      <c r="J122" s="191" t="s">
        <v>421</v>
      </c>
      <c r="K122" s="191" t="s">
        <v>422</v>
      </c>
      <c r="V122" s="183" cm="1">
        <f t="array" ref="V122:X122">'Technology Factsheet'!G56:I56</f>
        <v>0</v>
      </c>
      <c r="W122" s="183">
        <v>0</v>
      </c>
      <c r="X122" s="183">
        <v>0</v>
      </c>
    </row>
    <row r="123" spans="1:24" x14ac:dyDescent="0.25">
      <c r="A123" s="188">
        <f t="shared" si="23"/>
        <v>121</v>
      </c>
      <c r="B123" s="188" t="str">
        <f t="shared" si="31"/>
        <v>Input Material Flow</v>
      </c>
      <c r="C123" s="188" t="str">
        <f t="shared" si="34"/>
        <v xml:space="preserve"> </v>
      </c>
      <c r="D123" s="188" t="str">
        <f t="shared" si="34"/>
        <v xml:space="preserve"> </v>
      </c>
      <c r="E123" s="194">
        <f>E122</f>
        <v>2050</v>
      </c>
      <c r="F123" s="194" t="str">
        <f t="shared" si="35"/>
        <v>main</v>
      </c>
      <c r="G123" s="188" t="str">
        <f t="shared" si="28"/>
        <v>-</v>
      </c>
      <c r="J123" s="191" t="s">
        <v>421</v>
      </c>
      <c r="K123" s="191" t="s">
        <v>422</v>
      </c>
      <c r="V123" s="183" t="str">
        <f>'Technology Factsheet'!J57</f>
        <v>Min</v>
      </c>
    </row>
    <row r="124" spans="1:24" x14ac:dyDescent="0.25">
      <c r="A124" s="188">
        <f t="shared" si="23"/>
        <v>122</v>
      </c>
      <c r="B124" s="188" t="s">
        <v>109</v>
      </c>
      <c r="C124" s="188" t="str">
        <f>Q131</f>
        <v xml:space="preserve"> </v>
      </c>
      <c r="D124" s="188" t="str">
        <f>Q129</f>
        <v xml:space="preserve"> </v>
      </c>
      <c r="E124" s="194">
        <f>$Q$38</f>
        <v>2020</v>
      </c>
      <c r="F124" s="194" t="s">
        <v>428</v>
      </c>
      <c r="G124" s="188" t="str">
        <f t="shared" si="28"/>
        <v>-</v>
      </c>
      <c r="J124" s="191" t="s">
        <v>421</v>
      </c>
      <c r="K124" s="191" t="s">
        <v>422</v>
      </c>
      <c r="V124" s="183" t="str">
        <f>'Technology Factsheet'!L57</f>
        <v>Max</v>
      </c>
    </row>
    <row r="125" spans="1:24" x14ac:dyDescent="0.25">
      <c r="A125" s="188">
        <f t="shared" si="23"/>
        <v>123</v>
      </c>
      <c r="B125" s="188" t="str">
        <f>B124</f>
        <v>Emissions</v>
      </c>
      <c r="C125" s="188" t="str">
        <f>C124</f>
        <v xml:space="preserve"> </v>
      </c>
      <c r="D125" s="188" t="str">
        <f>D124</f>
        <v xml:space="preserve"> </v>
      </c>
      <c r="E125" s="194">
        <f>E124</f>
        <v>2020</v>
      </c>
      <c r="F125" s="194" t="s">
        <v>429</v>
      </c>
      <c r="G125" s="188" t="str">
        <f t="shared" si="28"/>
        <v>-</v>
      </c>
      <c r="J125" s="191" t="s">
        <v>421</v>
      </c>
      <c r="K125" s="191" t="s">
        <v>422</v>
      </c>
      <c r="V125" s="183" cm="1">
        <f t="array" ref="V125:X125">'Technology Factsheet'!J56:L56</f>
        <v>0</v>
      </c>
      <c r="W125" s="183">
        <v>0</v>
      </c>
      <c r="X125" s="183">
        <v>0</v>
      </c>
    </row>
    <row r="126" spans="1:24" x14ac:dyDescent="0.25">
      <c r="A126" s="188">
        <f t="shared" si="23"/>
        <v>124</v>
      </c>
      <c r="B126" s="188" t="str">
        <f t="shared" ref="B126:D141" si="36">B125</f>
        <v>Emissions</v>
      </c>
      <c r="C126" s="188" t="str">
        <f t="shared" si="36"/>
        <v xml:space="preserve"> </v>
      </c>
      <c r="D126" s="188" t="str">
        <f t="shared" si="36"/>
        <v xml:space="preserve"> </v>
      </c>
      <c r="E126" s="194">
        <f>E125</f>
        <v>2020</v>
      </c>
      <c r="F126" s="194" t="s">
        <v>430</v>
      </c>
      <c r="G126" s="188" t="str">
        <f t="shared" si="28"/>
        <v>-</v>
      </c>
      <c r="J126" s="191" t="s">
        <v>421</v>
      </c>
      <c r="K126" s="191" t="s">
        <v>422</v>
      </c>
      <c r="V126" s="183" t="str">
        <f>'Technology Factsheet'!M57</f>
        <v>Min</v>
      </c>
    </row>
    <row r="127" spans="1:24" x14ac:dyDescent="0.25">
      <c r="A127" s="188">
        <f t="shared" si="23"/>
        <v>125</v>
      </c>
      <c r="B127" s="188" t="str">
        <f t="shared" si="36"/>
        <v>Emissions</v>
      </c>
      <c r="C127" s="188" t="str">
        <f t="shared" si="36"/>
        <v xml:space="preserve"> </v>
      </c>
      <c r="D127" s="188" t="str">
        <f t="shared" si="36"/>
        <v xml:space="preserve"> </v>
      </c>
      <c r="E127" s="194">
        <f>$Q$40</f>
        <v>2030</v>
      </c>
      <c r="F127" s="194" t="str">
        <f>F124</f>
        <v>min</v>
      </c>
      <c r="G127" s="188" t="str">
        <f t="shared" si="28"/>
        <v>-</v>
      </c>
      <c r="J127" s="191" t="s">
        <v>421</v>
      </c>
      <c r="K127" s="191" t="s">
        <v>422</v>
      </c>
      <c r="V127" s="183" t="str">
        <f>'Technology Factsheet'!O57</f>
        <v>Max</v>
      </c>
    </row>
    <row r="128" spans="1:24" x14ac:dyDescent="0.25">
      <c r="A128" s="188">
        <f t="shared" si="23"/>
        <v>126</v>
      </c>
      <c r="B128" s="188" t="str">
        <f t="shared" si="36"/>
        <v>Emissions</v>
      </c>
      <c r="C128" s="188" t="str">
        <f t="shared" si="36"/>
        <v xml:space="preserve"> </v>
      </c>
      <c r="D128" s="188" t="str">
        <f t="shared" si="36"/>
        <v xml:space="preserve"> </v>
      </c>
      <c r="E128" s="194">
        <f>E127</f>
        <v>2030</v>
      </c>
      <c r="F128" s="194" t="str">
        <f t="shared" ref="F128:F132" si="37">F125</f>
        <v>max</v>
      </c>
      <c r="G128" s="188" t="str">
        <f t="shared" si="28"/>
        <v>-</v>
      </c>
      <c r="J128" s="191" t="s">
        <v>421</v>
      </c>
      <c r="K128" s="191" t="s">
        <v>422</v>
      </c>
      <c r="V128" s="183" cm="1">
        <f t="array" ref="V128:X128">'Technology Factsheet'!M56:O56</f>
        <v>0</v>
      </c>
      <c r="W128" s="183">
        <v>0</v>
      </c>
      <c r="X128" s="183">
        <v>0</v>
      </c>
    </row>
    <row r="129" spans="1:24" x14ac:dyDescent="0.25">
      <c r="A129" s="188">
        <f t="shared" si="23"/>
        <v>127</v>
      </c>
      <c r="B129" s="188" t="str">
        <f t="shared" si="36"/>
        <v>Emissions</v>
      </c>
      <c r="C129" s="188" t="str">
        <f t="shared" si="36"/>
        <v xml:space="preserve"> </v>
      </c>
      <c r="D129" s="188" t="str">
        <f t="shared" si="36"/>
        <v xml:space="preserve"> </v>
      </c>
      <c r="E129" s="194">
        <f>E128</f>
        <v>2030</v>
      </c>
      <c r="F129" s="194" t="str">
        <f t="shared" si="37"/>
        <v>main</v>
      </c>
      <c r="G129" s="188" t="str">
        <f t="shared" si="28"/>
        <v>-</v>
      </c>
      <c r="J129" s="191" t="s">
        <v>421</v>
      </c>
      <c r="K129" s="191" t="s">
        <v>422</v>
      </c>
      <c r="P129" s="183" t="s">
        <v>432</v>
      </c>
      <c r="Q129" s="183" t="str" cm="1">
        <f t="array" ref="Q129:R130">'Technology Factsheet'!D61:E62</f>
        <v xml:space="preserve"> </v>
      </c>
      <c r="R129" s="183">
        <v>0</v>
      </c>
      <c r="U129" s="183" t="s">
        <v>432</v>
      </c>
      <c r="V129" s="183" t="str">
        <f>'Technology Factsheet'!G62</f>
        <v>Min</v>
      </c>
    </row>
    <row r="130" spans="1:24" x14ac:dyDescent="0.25">
      <c r="A130" s="188">
        <f t="shared" si="23"/>
        <v>128</v>
      </c>
      <c r="B130" s="188" t="str">
        <f t="shared" si="36"/>
        <v>Emissions</v>
      </c>
      <c r="C130" s="188" t="str">
        <f t="shared" si="36"/>
        <v xml:space="preserve"> </v>
      </c>
      <c r="D130" s="188" t="str">
        <f t="shared" si="36"/>
        <v xml:space="preserve"> </v>
      </c>
      <c r="E130" s="194">
        <f>$Q$41</f>
        <v>2050</v>
      </c>
      <c r="F130" s="194" t="str">
        <f t="shared" si="37"/>
        <v>min</v>
      </c>
      <c r="G130" s="188" t="str">
        <f t="shared" si="28"/>
        <v>-</v>
      </c>
      <c r="J130" s="191" t="s">
        <v>421</v>
      </c>
      <c r="K130" s="191" t="s">
        <v>422</v>
      </c>
      <c r="Q130" s="183">
        <v>0</v>
      </c>
      <c r="R130" s="183">
        <v>0</v>
      </c>
      <c r="V130" s="183" t="str">
        <f>'Technology Factsheet'!I62</f>
        <v>Max</v>
      </c>
    </row>
    <row r="131" spans="1:24" x14ac:dyDescent="0.25">
      <c r="A131" s="188">
        <f t="shared" si="23"/>
        <v>129</v>
      </c>
      <c r="B131" s="188" t="str">
        <f t="shared" si="36"/>
        <v>Emissions</v>
      </c>
      <c r="C131" s="188" t="str">
        <f t="shared" si="36"/>
        <v xml:space="preserve"> </v>
      </c>
      <c r="D131" s="188" t="str">
        <f t="shared" si="36"/>
        <v xml:space="preserve"> </v>
      </c>
      <c r="E131" s="194">
        <f>E130</f>
        <v>2050</v>
      </c>
      <c r="F131" s="194" t="str">
        <f t="shared" si="37"/>
        <v>max</v>
      </c>
      <c r="G131" s="188" t="str">
        <f t="shared" si="28"/>
        <v>-</v>
      </c>
      <c r="J131" s="191" t="s">
        <v>421</v>
      </c>
      <c r="K131" s="191" t="s">
        <v>422</v>
      </c>
      <c r="Q131" s="183" t="str" cm="1">
        <f t="array" ref="Q131:Q132">'Technology Factsheet'!F61:F62</f>
        <v xml:space="preserve"> </v>
      </c>
      <c r="V131" s="183" cm="1">
        <f t="array" ref="V131:X131">'Technology Factsheet'!G61:I61</f>
        <v>0</v>
      </c>
      <c r="W131" s="183">
        <v>0</v>
      </c>
      <c r="X131" s="183">
        <v>0</v>
      </c>
    </row>
    <row r="132" spans="1:24" x14ac:dyDescent="0.25">
      <c r="A132" s="188">
        <f t="shared" si="23"/>
        <v>130</v>
      </c>
      <c r="B132" s="188" t="str">
        <f t="shared" si="36"/>
        <v>Emissions</v>
      </c>
      <c r="C132" s="188" t="str">
        <f t="shared" si="36"/>
        <v xml:space="preserve"> </v>
      </c>
      <c r="D132" s="188" t="str">
        <f t="shared" si="36"/>
        <v xml:space="preserve"> </v>
      </c>
      <c r="E132" s="194">
        <f>E131</f>
        <v>2050</v>
      </c>
      <c r="F132" s="194" t="str">
        <f t="shared" si="37"/>
        <v>main</v>
      </c>
      <c r="G132" s="188" t="str">
        <f t="shared" si="28"/>
        <v>-</v>
      </c>
      <c r="J132" s="191" t="s">
        <v>421</v>
      </c>
      <c r="K132" s="191" t="s">
        <v>422</v>
      </c>
      <c r="Q132" s="183">
        <v>0</v>
      </c>
      <c r="V132" s="183" t="str">
        <f>'Technology Factsheet'!J62</f>
        <v>Min</v>
      </c>
    </row>
    <row r="133" spans="1:24" x14ac:dyDescent="0.25">
      <c r="A133" s="188">
        <f t="shared" si="23"/>
        <v>131</v>
      </c>
      <c r="B133" s="188" t="str">
        <f t="shared" si="36"/>
        <v>Emissions</v>
      </c>
      <c r="C133" s="188" t="str">
        <f>Q135</f>
        <v xml:space="preserve"> </v>
      </c>
      <c r="D133" s="188" t="str">
        <f>Q133</f>
        <v xml:space="preserve"> </v>
      </c>
      <c r="E133" s="194">
        <f>$Q$38</f>
        <v>2020</v>
      </c>
      <c r="F133" s="194" t="s">
        <v>428</v>
      </c>
      <c r="G133" s="188" t="str">
        <f t="shared" si="28"/>
        <v>-</v>
      </c>
      <c r="J133" s="191" t="s">
        <v>421</v>
      </c>
      <c r="K133" s="191" t="s">
        <v>422</v>
      </c>
      <c r="Q133" s="183" t="str" cm="1">
        <f t="array" ref="Q133:R134">'Technology Factsheet'!D63:E64</f>
        <v xml:space="preserve"> </v>
      </c>
      <c r="R133" s="183">
        <v>0</v>
      </c>
      <c r="V133" s="183" t="str">
        <f>'Technology Factsheet'!L62</f>
        <v>Max</v>
      </c>
    </row>
    <row r="134" spans="1:24" x14ac:dyDescent="0.25">
      <c r="A134" s="188">
        <f t="shared" si="23"/>
        <v>132</v>
      </c>
      <c r="B134" s="188" t="str">
        <f t="shared" si="36"/>
        <v>Emissions</v>
      </c>
      <c r="C134" s="188" t="str">
        <f>C133</f>
        <v xml:space="preserve"> </v>
      </c>
      <c r="D134" s="188" t="str">
        <f>D133</f>
        <v xml:space="preserve"> </v>
      </c>
      <c r="E134" s="194">
        <f>E133</f>
        <v>2020</v>
      </c>
      <c r="F134" s="194" t="s">
        <v>429</v>
      </c>
      <c r="G134" s="188" t="str">
        <f t="shared" si="28"/>
        <v>-</v>
      </c>
      <c r="J134" s="191" t="s">
        <v>421</v>
      </c>
      <c r="K134" s="191" t="s">
        <v>422</v>
      </c>
      <c r="Q134" s="183">
        <v>0</v>
      </c>
      <c r="R134" s="183">
        <v>0</v>
      </c>
      <c r="V134" s="183" cm="1">
        <f t="array" ref="V134:X134">'Technology Factsheet'!J61:L61</f>
        <v>0</v>
      </c>
      <c r="W134" s="183">
        <v>0</v>
      </c>
      <c r="X134" s="183">
        <v>0</v>
      </c>
    </row>
    <row r="135" spans="1:24" x14ac:dyDescent="0.25">
      <c r="A135" s="188">
        <f t="shared" si="23"/>
        <v>133</v>
      </c>
      <c r="B135" s="188" t="str">
        <f t="shared" si="36"/>
        <v>Emissions</v>
      </c>
      <c r="C135" s="188" t="str">
        <f t="shared" si="36"/>
        <v xml:space="preserve"> </v>
      </c>
      <c r="D135" s="188" t="str">
        <f t="shared" si="36"/>
        <v xml:space="preserve"> </v>
      </c>
      <c r="E135" s="194">
        <f>E134</f>
        <v>2020</v>
      </c>
      <c r="F135" s="194" t="s">
        <v>430</v>
      </c>
      <c r="G135" s="188" t="str">
        <f t="shared" si="28"/>
        <v>-</v>
      </c>
      <c r="J135" s="191" t="s">
        <v>421</v>
      </c>
      <c r="K135" s="191" t="s">
        <v>422</v>
      </c>
      <c r="Q135" s="183" t="str" cm="1">
        <f t="array" ref="Q135:Q136">'Technology Factsheet'!F63:F64</f>
        <v xml:space="preserve"> </v>
      </c>
      <c r="V135" s="183" t="str">
        <f>'Technology Factsheet'!M62</f>
        <v>Min</v>
      </c>
    </row>
    <row r="136" spans="1:24" x14ac:dyDescent="0.25">
      <c r="A136" s="188">
        <f t="shared" si="23"/>
        <v>134</v>
      </c>
      <c r="B136" s="188" t="str">
        <f t="shared" si="36"/>
        <v>Emissions</v>
      </c>
      <c r="C136" s="188" t="str">
        <f t="shared" si="36"/>
        <v xml:space="preserve"> </v>
      </c>
      <c r="D136" s="188" t="str">
        <f t="shared" si="36"/>
        <v xml:space="preserve"> </v>
      </c>
      <c r="E136" s="194">
        <f>$Q$40</f>
        <v>2030</v>
      </c>
      <c r="F136" s="194" t="str">
        <f>F133</f>
        <v>min</v>
      </c>
      <c r="G136" s="188" t="str">
        <f t="shared" si="28"/>
        <v>-</v>
      </c>
      <c r="J136" s="191" t="s">
        <v>421</v>
      </c>
      <c r="K136" s="191" t="s">
        <v>422</v>
      </c>
      <c r="Q136" s="183">
        <v>0</v>
      </c>
      <c r="V136" s="183" t="str">
        <f>'Technology Factsheet'!O62</f>
        <v>Max</v>
      </c>
    </row>
    <row r="137" spans="1:24" x14ac:dyDescent="0.25">
      <c r="A137" s="188">
        <f t="shared" si="23"/>
        <v>135</v>
      </c>
      <c r="B137" s="188" t="str">
        <f t="shared" si="36"/>
        <v>Emissions</v>
      </c>
      <c r="C137" s="188" t="str">
        <f t="shared" si="36"/>
        <v xml:space="preserve"> </v>
      </c>
      <c r="D137" s="188" t="str">
        <f t="shared" si="36"/>
        <v xml:space="preserve"> </v>
      </c>
      <c r="E137" s="194">
        <f>E136</f>
        <v>2030</v>
      </c>
      <c r="F137" s="194" t="str">
        <f t="shared" ref="F137:F141" si="38">F134</f>
        <v>max</v>
      </c>
      <c r="G137" s="188" t="str">
        <f t="shared" si="28"/>
        <v>-</v>
      </c>
      <c r="J137" s="191" t="s">
        <v>421</v>
      </c>
      <c r="K137" s="191" t="s">
        <v>422</v>
      </c>
      <c r="Q137" s="183" t="str" cm="1">
        <f t="array" ref="Q137:R138">'Technology Factsheet'!D65:E66</f>
        <v xml:space="preserve"> </v>
      </c>
      <c r="R137" s="183">
        <v>0</v>
      </c>
      <c r="V137" s="183" cm="1">
        <f t="array" ref="V137:X137">'Technology Factsheet'!M61:O61</f>
        <v>0</v>
      </c>
      <c r="W137" s="183">
        <v>0</v>
      </c>
      <c r="X137" s="183">
        <v>0</v>
      </c>
    </row>
    <row r="138" spans="1:24" x14ac:dyDescent="0.25">
      <c r="A138" s="188">
        <f t="shared" si="23"/>
        <v>136</v>
      </c>
      <c r="B138" s="188" t="str">
        <f t="shared" si="36"/>
        <v>Emissions</v>
      </c>
      <c r="C138" s="188" t="str">
        <f t="shared" si="36"/>
        <v xml:space="preserve"> </v>
      </c>
      <c r="D138" s="188" t="str">
        <f t="shared" si="36"/>
        <v xml:space="preserve"> </v>
      </c>
      <c r="E138" s="194">
        <f>E137</f>
        <v>2030</v>
      </c>
      <c r="F138" s="194" t="str">
        <f t="shared" si="38"/>
        <v>main</v>
      </c>
      <c r="G138" s="188" t="str">
        <f t="shared" si="28"/>
        <v>-</v>
      </c>
      <c r="J138" s="191" t="s">
        <v>421</v>
      </c>
      <c r="K138" s="191" t="s">
        <v>422</v>
      </c>
      <c r="Q138" s="183">
        <v>0</v>
      </c>
      <c r="R138" s="183">
        <v>0</v>
      </c>
      <c r="V138" s="183" t="str">
        <f>'Technology Factsheet'!G64</f>
        <v>Min</v>
      </c>
    </row>
    <row r="139" spans="1:24" x14ac:dyDescent="0.25">
      <c r="A139" s="188">
        <f t="shared" si="23"/>
        <v>137</v>
      </c>
      <c r="B139" s="188" t="str">
        <f t="shared" si="36"/>
        <v>Emissions</v>
      </c>
      <c r="C139" s="188" t="str">
        <f t="shared" si="36"/>
        <v xml:space="preserve"> </v>
      </c>
      <c r="D139" s="188" t="str">
        <f t="shared" si="36"/>
        <v xml:space="preserve"> </v>
      </c>
      <c r="E139" s="194">
        <f>$Q$41</f>
        <v>2050</v>
      </c>
      <c r="F139" s="194" t="str">
        <f t="shared" si="38"/>
        <v>min</v>
      </c>
      <c r="G139" s="188" t="str">
        <f t="shared" si="28"/>
        <v>-</v>
      </c>
      <c r="J139" s="191" t="s">
        <v>421</v>
      </c>
      <c r="K139" s="191" t="s">
        <v>422</v>
      </c>
      <c r="Q139" s="183" t="str" cm="1">
        <f t="array" ref="Q139:Q140">'Technology Factsheet'!F65:F66</f>
        <v xml:space="preserve"> </v>
      </c>
      <c r="V139" s="183" t="str">
        <f>'Technology Factsheet'!I64</f>
        <v>Max</v>
      </c>
    </row>
    <row r="140" spans="1:24" x14ac:dyDescent="0.25">
      <c r="A140" s="188">
        <f t="shared" si="23"/>
        <v>138</v>
      </c>
      <c r="B140" s="188" t="str">
        <f t="shared" si="36"/>
        <v>Emissions</v>
      </c>
      <c r="C140" s="188" t="str">
        <f t="shared" si="36"/>
        <v xml:space="preserve"> </v>
      </c>
      <c r="D140" s="188" t="str">
        <f t="shared" si="36"/>
        <v xml:space="preserve"> </v>
      </c>
      <c r="E140" s="194">
        <f>E139</f>
        <v>2050</v>
      </c>
      <c r="F140" s="194" t="str">
        <f t="shared" si="38"/>
        <v>max</v>
      </c>
      <c r="G140" s="188" t="str">
        <f t="shared" si="28"/>
        <v>-</v>
      </c>
      <c r="J140" s="191" t="s">
        <v>421</v>
      </c>
      <c r="K140" s="191" t="s">
        <v>422</v>
      </c>
      <c r="Q140" s="183">
        <v>0</v>
      </c>
      <c r="V140" s="183" cm="1">
        <f t="array" ref="V140:X140">'Technology Factsheet'!G63:I63</f>
        <v>0</v>
      </c>
      <c r="W140" s="183">
        <v>0</v>
      </c>
      <c r="X140" s="183">
        <v>0</v>
      </c>
    </row>
    <row r="141" spans="1:24" x14ac:dyDescent="0.25">
      <c r="A141" s="188">
        <f t="shared" si="23"/>
        <v>139</v>
      </c>
      <c r="B141" s="188" t="str">
        <f t="shared" si="36"/>
        <v>Emissions</v>
      </c>
      <c r="C141" s="188" t="str">
        <f t="shared" si="36"/>
        <v xml:space="preserve"> </v>
      </c>
      <c r="D141" s="188" t="str">
        <f t="shared" si="36"/>
        <v xml:space="preserve"> </v>
      </c>
      <c r="E141" s="194">
        <f>E140</f>
        <v>2050</v>
      </c>
      <c r="F141" s="194" t="str">
        <f t="shared" si="38"/>
        <v>main</v>
      </c>
      <c r="G141" s="188" t="str">
        <f t="shared" si="28"/>
        <v>-</v>
      </c>
      <c r="J141" s="191" t="s">
        <v>421</v>
      </c>
      <c r="K141" s="191" t="s">
        <v>422</v>
      </c>
      <c r="Q141" s="183" t="str" cm="1">
        <f t="array" ref="Q141:R142">'Technology Factsheet'!D67:E68</f>
        <v xml:space="preserve"> </v>
      </c>
      <c r="R141" s="183">
        <v>0</v>
      </c>
      <c r="V141" s="183" t="str">
        <f>'Technology Factsheet'!J64</f>
        <v>Min</v>
      </c>
    </row>
    <row r="142" spans="1:24" x14ac:dyDescent="0.25">
      <c r="A142" s="188">
        <f t="shared" si="23"/>
        <v>140</v>
      </c>
      <c r="B142" s="188" t="str">
        <f t="shared" ref="B142:D157" si="39">B141</f>
        <v>Emissions</v>
      </c>
      <c r="C142" s="188" t="str">
        <f>Q139</f>
        <v xml:space="preserve"> </v>
      </c>
      <c r="D142" s="188" t="str">
        <f>Q137</f>
        <v xml:space="preserve"> </v>
      </c>
      <c r="E142" s="194">
        <f>$Q$38</f>
        <v>2020</v>
      </c>
      <c r="F142" s="194" t="s">
        <v>428</v>
      </c>
      <c r="G142" s="188" t="str">
        <f t="shared" si="28"/>
        <v>-</v>
      </c>
      <c r="J142" s="191" t="s">
        <v>421</v>
      </c>
      <c r="K142" s="191" t="s">
        <v>422</v>
      </c>
      <c r="Q142" s="183">
        <v>0</v>
      </c>
      <c r="R142" s="183">
        <v>0</v>
      </c>
      <c r="V142" s="183" t="str">
        <f>'Technology Factsheet'!L64</f>
        <v>Max</v>
      </c>
    </row>
    <row r="143" spans="1:24" x14ac:dyDescent="0.25">
      <c r="A143" s="188">
        <f t="shared" si="23"/>
        <v>141</v>
      </c>
      <c r="B143" s="188" t="str">
        <f t="shared" si="39"/>
        <v>Emissions</v>
      </c>
      <c r="C143" s="188" t="str">
        <f>C142</f>
        <v xml:space="preserve"> </v>
      </c>
      <c r="D143" s="188" t="str">
        <f>D142</f>
        <v xml:space="preserve"> </v>
      </c>
      <c r="E143" s="194">
        <f>E142</f>
        <v>2020</v>
      </c>
      <c r="F143" s="194" t="s">
        <v>429</v>
      </c>
      <c r="G143" s="188" t="str">
        <f t="shared" si="28"/>
        <v>-</v>
      </c>
      <c r="J143" s="191" t="s">
        <v>421</v>
      </c>
      <c r="K143" s="191" t="s">
        <v>422</v>
      </c>
      <c r="Q143" s="183" t="str" cm="1">
        <f t="array" ref="Q143:Q144">'Technology Factsheet'!F67:F68</f>
        <v xml:space="preserve"> </v>
      </c>
      <c r="V143" s="183" cm="1">
        <f t="array" ref="V143:X143">'Technology Factsheet'!J63:L63</f>
        <v>0</v>
      </c>
      <c r="W143" s="183">
        <v>0</v>
      </c>
      <c r="X143" s="183">
        <v>0</v>
      </c>
    </row>
    <row r="144" spans="1:24" x14ac:dyDescent="0.25">
      <c r="A144" s="188">
        <f t="shared" si="23"/>
        <v>142</v>
      </c>
      <c r="B144" s="188" t="str">
        <f t="shared" si="39"/>
        <v>Emissions</v>
      </c>
      <c r="C144" s="188" t="str">
        <f t="shared" si="39"/>
        <v xml:space="preserve"> </v>
      </c>
      <c r="D144" s="188" t="str">
        <f t="shared" si="39"/>
        <v xml:space="preserve"> </v>
      </c>
      <c r="E144" s="194">
        <f>E143</f>
        <v>2020</v>
      </c>
      <c r="F144" s="194" t="s">
        <v>430</v>
      </c>
      <c r="G144" s="188" t="str">
        <f t="shared" si="28"/>
        <v>-</v>
      </c>
      <c r="J144" s="191" t="s">
        <v>421</v>
      </c>
      <c r="K144" s="191" t="s">
        <v>422</v>
      </c>
      <c r="Q144" s="183">
        <v>0</v>
      </c>
      <c r="V144" s="183" t="str">
        <f>'Technology Factsheet'!M64</f>
        <v>Min</v>
      </c>
    </row>
    <row r="145" spans="1:24" x14ac:dyDescent="0.25">
      <c r="A145" s="188">
        <f t="shared" ref="A145:A195" si="40">A144+1</f>
        <v>143</v>
      </c>
      <c r="B145" s="188" t="str">
        <f t="shared" si="39"/>
        <v>Emissions</v>
      </c>
      <c r="C145" s="188" t="str">
        <f t="shared" si="39"/>
        <v xml:space="preserve"> </v>
      </c>
      <c r="D145" s="188" t="str">
        <f t="shared" si="39"/>
        <v xml:space="preserve"> </v>
      </c>
      <c r="E145" s="194">
        <f>$Q$40</f>
        <v>2030</v>
      </c>
      <c r="F145" s="194" t="str">
        <f>F142</f>
        <v>min</v>
      </c>
      <c r="G145" s="188" t="str">
        <f t="shared" si="28"/>
        <v>-</v>
      </c>
      <c r="J145" s="191" t="s">
        <v>421</v>
      </c>
      <c r="K145" s="191" t="s">
        <v>422</v>
      </c>
      <c r="V145" s="183" t="str">
        <f>'Technology Factsheet'!O64</f>
        <v>Max</v>
      </c>
    </row>
    <row r="146" spans="1:24" x14ac:dyDescent="0.25">
      <c r="A146" s="188">
        <f t="shared" si="40"/>
        <v>144</v>
      </c>
      <c r="B146" s="188" t="str">
        <f t="shared" si="39"/>
        <v>Emissions</v>
      </c>
      <c r="C146" s="188" t="str">
        <f t="shared" si="39"/>
        <v xml:space="preserve"> </v>
      </c>
      <c r="D146" s="188" t="str">
        <f t="shared" si="39"/>
        <v xml:space="preserve"> </v>
      </c>
      <c r="E146" s="194">
        <f>E145</f>
        <v>2030</v>
      </c>
      <c r="F146" s="194" t="str">
        <f t="shared" ref="F146:F150" si="41">F143</f>
        <v>max</v>
      </c>
      <c r="G146" s="188" t="str">
        <f t="shared" si="28"/>
        <v>-</v>
      </c>
      <c r="J146" s="191" t="s">
        <v>421</v>
      </c>
      <c r="K146" s="191" t="s">
        <v>422</v>
      </c>
      <c r="V146" s="183" cm="1">
        <f t="array" ref="V146:X146">'Technology Factsheet'!M63:O63</f>
        <v>0</v>
      </c>
      <c r="W146" s="183">
        <v>0</v>
      </c>
      <c r="X146" s="183">
        <v>0</v>
      </c>
    </row>
    <row r="147" spans="1:24" x14ac:dyDescent="0.25">
      <c r="A147" s="188">
        <f t="shared" si="40"/>
        <v>145</v>
      </c>
      <c r="B147" s="188" t="str">
        <f t="shared" si="39"/>
        <v>Emissions</v>
      </c>
      <c r="C147" s="188" t="str">
        <f t="shared" si="39"/>
        <v xml:space="preserve"> </v>
      </c>
      <c r="D147" s="188" t="str">
        <f t="shared" si="39"/>
        <v xml:space="preserve"> </v>
      </c>
      <c r="E147" s="194">
        <f>E146</f>
        <v>2030</v>
      </c>
      <c r="F147" s="194" t="str">
        <f t="shared" si="41"/>
        <v>main</v>
      </c>
      <c r="G147" s="188" t="str">
        <f t="shared" si="28"/>
        <v>-</v>
      </c>
      <c r="J147" s="191" t="s">
        <v>421</v>
      </c>
      <c r="K147" s="191" t="s">
        <v>422</v>
      </c>
      <c r="V147" s="183" t="str">
        <f>'Technology Factsheet'!G66</f>
        <v>Min</v>
      </c>
    </row>
    <row r="148" spans="1:24" x14ac:dyDescent="0.25">
      <c r="A148" s="188">
        <f t="shared" si="40"/>
        <v>146</v>
      </c>
      <c r="B148" s="188" t="str">
        <f t="shared" si="39"/>
        <v>Emissions</v>
      </c>
      <c r="C148" s="188" t="str">
        <f t="shared" si="39"/>
        <v xml:space="preserve"> </v>
      </c>
      <c r="D148" s="188" t="str">
        <f t="shared" si="39"/>
        <v xml:space="preserve"> </v>
      </c>
      <c r="E148" s="194">
        <f>$Q$41</f>
        <v>2050</v>
      </c>
      <c r="F148" s="194" t="str">
        <f t="shared" si="41"/>
        <v>min</v>
      </c>
      <c r="G148" s="188" t="str">
        <f t="shared" si="28"/>
        <v>-</v>
      </c>
      <c r="J148" s="191" t="s">
        <v>421</v>
      </c>
      <c r="K148" s="191" t="s">
        <v>422</v>
      </c>
      <c r="V148" s="183" t="str">
        <f>'Technology Factsheet'!I66</f>
        <v>Max</v>
      </c>
    </row>
    <row r="149" spans="1:24" x14ac:dyDescent="0.25">
      <c r="A149" s="188">
        <f t="shared" si="40"/>
        <v>147</v>
      </c>
      <c r="B149" s="188" t="str">
        <f t="shared" si="39"/>
        <v>Emissions</v>
      </c>
      <c r="C149" s="188" t="str">
        <f t="shared" si="39"/>
        <v xml:space="preserve"> </v>
      </c>
      <c r="D149" s="188" t="str">
        <f t="shared" si="39"/>
        <v xml:space="preserve"> </v>
      </c>
      <c r="E149" s="194">
        <f>E148</f>
        <v>2050</v>
      </c>
      <c r="F149" s="194" t="str">
        <f t="shared" si="41"/>
        <v>max</v>
      </c>
      <c r="G149" s="188" t="str">
        <f t="shared" si="28"/>
        <v>-</v>
      </c>
      <c r="J149" s="191" t="s">
        <v>421</v>
      </c>
      <c r="K149" s="191" t="s">
        <v>422</v>
      </c>
      <c r="V149" s="183" cm="1">
        <f t="array" ref="V149:X149">'Technology Factsheet'!G65:I65</f>
        <v>0</v>
      </c>
      <c r="W149" s="183">
        <v>0</v>
      </c>
      <c r="X149" s="183">
        <v>0</v>
      </c>
    </row>
    <row r="150" spans="1:24" x14ac:dyDescent="0.25">
      <c r="A150" s="188">
        <f t="shared" si="40"/>
        <v>148</v>
      </c>
      <c r="B150" s="188" t="str">
        <f t="shared" si="39"/>
        <v>Emissions</v>
      </c>
      <c r="C150" s="188" t="str">
        <f t="shared" si="39"/>
        <v xml:space="preserve"> </v>
      </c>
      <c r="D150" s="188" t="str">
        <f t="shared" si="39"/>
        <v xml:space="preserve"> </v>
      </c>
      <c r="E150" s="194">
        <f>E149</f>
        <v>2050</v>
      </c>
      <c r="F150" s="194" t="str">
        <f t="shared" si="41"/>
        <v>main</v>
      </c>
      <c r="G150" s="188" t="str">
        <f t="shared" si="28"/>
        <v>-</v>
      </c>
      <c r="J150" s="191" t="s">
        <v>421</v>
      </c>
      <c r="K150" s="191" t="s">
        <v>422</v>
      </c>
      <c r="V150" s="183" t="str">
        <f>'Technology Factsheet'!J66</f>
        <v>Min</v>
      </c>
    </row>
    <row r="151" spans="1:24" x14ac:dyDescent="0.25">
      <c r="A151" s="188">
        <f t="shared" si="40"/>
        <v>149</v>
      </c>
      <c r="B151" s="188" t="str">
        <f t="shared" si="39"/>
        <v>Emissions</v>
      </c>
      <c r="C151" s="188" t="str">
        <f>Q143</f>
        <v xml:space="preserve"> </v>
      </c>
      <c r="D151" s="188" t="str">
        <f>Q141</f>
        <v xml:space="preserve"> </v>
      </c>
      <c r="E151" s="194">
        <f>$Q$38</f>
        <v>2020</v>
      </c>
      <c r="F151" s="194" t="s">
        <v>428</v>
      </c>
      <c r="G151" s="188" t="str">
        <f t="shared" si="28"/>
        <v>-</v>
      </c>
      <c r="J151" s="191" t="s">
        <v>421</v>
      </c>
      <c r="K151" s="191" t="s">
        <v>422</v>
      </c>
      <c r="V151" s="183" t="str">
        <f>'Technology Factsheet'!L66</f>
        <v>Max</v>
      </c>
    </row>
    <row r="152" spans="1:24" x14ac:dyDescent="0.25">
      <c r="A152" s="188">
        <f t="shared" si="40"/>
        <v>150</v>
      </c>
      <c r="B152" s="188" t="str">
        <f t="shared" si="39"/>
        <v>Emissions</v>
      </c>
      <c r="C152" s="188" t="str">
        <f>C151</f>
        <v xml:space="preserve"> </v>
      </c>
      <c r="D152" s="188" t="str">
        <f>D151</f>
        <v xml:space="preserve"> </v>
      </c>
      <c r="E152" s="194">
        <f>E151</f>
        <v>2020</v>
      </c>
      <c r="F152" s="194" t="s">
        <v>429</v>
      </c>
      <c r="G152" s="188" t="str">
        <f t="shared" si="28"/>
        <v>-</v>
      </c>
      <c r="J152" s="191" t="s">
        <v>421</v>
      </c>
      <c r="K152" s="191" t="s">
        <v>422</v>
      </c>
      <c r="V152" s="183" cm="1">
        <f t="array" ref="V152:X152">'Technology Factsheet'!J65:L65</f>
        <v>0</v>
      </c>
      <c r="W152" s="183">
        <v>0</v>
      </c>
      <c r="X152" s="183">
        <v>0</v>
      </c>
    </row>
    <row r="153" spans="1:24" x14ac:dyDescent="0.25">
      <c r="A153" s="188">
        <f t="shared" si="40"/>
        <v>151</v>
      </c>
      <c r="B153" s="188" t="str">
        <f t="shared" si="39"/>
        <v>Emissions</v>
      </c>
      <c r="C153" s="188" t="str">
        <f t="shared" si="39"/>
        <v xml:space="preserve"> </v>
      </c>
      <c r="D153" s="188" t="str">
        <f t="shared" si="39"/>
        <v xml:space="preserve"> </v>
      </c>
      <c r="E153" s="194">
        <f>E152</f>
        <v>2020</v>
      </c>
      <c r="F153" s="194" t="s">
        <v>430</v>
      </c>
      <c r="G153" s="188" t="str">
        <f t="shared" si="28"/>
        <v>-</v>
      </c>
      <c r="J153" s="191" t="s">
        <v>421</v>
      </c>
      <c r="K153" s="191" t="s">
        <v>422</v>
      </c>
      <c r="V153" s="183" t="str">
        <f>'Technology Factsheet'!M66</f>
        <v>Min</v>
      </c>
    </row>
    <row r="154" spans="1:24" x14ac:dyDescent="0.25">
      <c r="A154" s="188">
        <f t="shared" si="40"/>
        <v>152</v>
      </c>
      <c r="B154" s="188" t="str">
        <f t="shared" si="39"/>
        <v>Emissions</v>
      </c>
      <c r="C154" s="188" t="str">
        <f t="shared" si="39"/>
        <v xml:space="preserve"> </v>
      </c>
      <c r="D154" s="188" t="str">
        <f t="shared" si="39"/>
        <v xml:space="preserve"> </v>
      </c>
      <c r="E154" s="194">
        <f>$Q$40</f>
        <v>2030</v>
      </c>
      <c r="F154" s="194" t="str">
        <f>F151</f>
        <v>min</v>
      </c>
      <c r="G154" s="188" t="str">
        <f t="shared" si="28"/>
        <v>-</v>
      </c>
      <c r="J154" s="191" t="s">
        <v>421</v>
      </c>
      <c r="K154" s="191" t="s">
        <v>422</v>
      </c>
      <c r="V154" s="183" t="str">
        <f>'Technology Factsheet'!O66</f>
        <v>Max</v>
      </c>
    </row>
    <row r="155" spans="1:24" x14ac:dyDescent="0.25">
      <c r="A155" s="188">
        <f t="shared" si="40"/>
        <v>153</v>
      </c>
      <c r="B155" s="188" t="str">
        <f t="shared" si="39"/>
        <v>Emissions</v>
      </c>
      <c r="C155" s="188" t="str">
        <f t="shared" si="39"/>
        <v xml:space="preserve"> </v>
      </c>
      <c r="D155" s="188" t="str">
        <f t="shared" si="39"/>
        <v xml:space="preserve"> </v>
      </c>
      <c r="E155" s="194">
        <f>E154</f>
        <v>2030</v>
      </c>
      <c r="F155" s="194" t="str">
        <f t="shared" ref="F155:F159" si="42">F152</f>
        <v>max</v>
      </c>
      <c r="G155" s="188" t="str">
        <f t="shared" si="28"/>
        <v>-</v>
      </c>
      <c r="J155" s="191" t="s">
        <v>421</v>
      </c>
      <c r="K155" s="191" t="s">
        <v>422</v>
      </c>
      <c r="V155" s="183" cm="1">
        <f t="array" ref="V155:X155">'Technology Factsheet'!M65:O65</f>
        <v>0</v>
      </c>
      <c r="W155" s="183">
        <v>0</v>
      </c>
      <c r="X155" s="183">
        <v>0</v>
      </c>
    </row>
    <row r="156" spans="1:24" x14ac:dyDescent="0.25">
      <c r="A156" s="188">
        <f t="shared" si="40"/>
        <v>154</v>
      </c>
      <c r="B156" s="188" t="str">
        <f t="shared" si="39"/>
        <v>Emissions</v>
      </c>
      <c r="C156" s="188" t="str">
        <f t="shared" si="39"/>
        <v xml:space="preserve"> </v>
      </c>
      <c r="D156" s="188" t="str">
        <f t="shared" si="39"/>
        <v xml:space="preserve"> </v>
      </c>
      <c r="E156" s="194">
        <f>E155</f>
        <v>2030</v>
      </c>
      <c r="F156" s="194" t="str">
        <f t="shared" si="42"/>
        <v>main</v>
      </c>
      <c r="G156" s="188" t="str">
        <f t="shared" si="28"/>
        <v>-</v>
      </c>
      <c r="J156" s="191" t="s">
        <v>421</v>
      </c>
      <c r="K156" s="191" t="s">
        <v>422</v>
      </c>
      <c r="V156" s="183" t="str">
        <f>'Technology Factsheet'!G68</f>
        <v>Min</v>
      </c>
    </row>
    <row r="157" spans="1:24" x14ac:dyDescent="0.25">
      <c r="A157" s="188">
        <f t="shared" si="40"/>
        <v>155</v>
      </c>
      <c r="B157" s="188" t="str">
        <f t="shared" si="39"/>
        <v>Emissions</v>
      </c>
      <c r="C157" s="188" t="str">
        <f t="shared" si="39"/>
        <v xml:space="preserve"> </v>
      </c>
      <c r="D157" s="188" t="str">
        <f t="shared" si="39"/>
        <v xml:space="preserve"> </v>
      </c>
      <c r="E157" s="194">
        <f>$Q$41</f>
        <v>2050</v>
      </c>
      <c r="F157" s="194" t="str">
        <f t="shared" si="42"/>
        <v>min</v>
      </c>
      <c r="G157" s="188" t="str">
        <f t="shared" si="28"/>
        <v>-</v>
      </c>
      <c r="J157" s="191" t="s">
        <v>421</v>
      </c>
      <c r="K157" s="191" t="s">
        <v>422</v>
      </c>
      <c r="V157" s="183" t="str">
        <f>'Technology Factsheet'!I68</f>
        <v>Max</v>
      </c>
    </row>
    <row r="158" spans="1:24" x14ac:dyDescent="0.25">
      <c r="A158" s="188">
        <f t="shared" si="40"/>
        <v>156</v>
      </c>
      <c r="B158" s="188" t="str">
        <f t="shared" ref="B158:D159" si="43">B157</f>
        <v>Emissions</v>
      </c>
      <c r="C158" s="188" t="str">
        <f t="shared" si="43"/>
        <v xml:space="preserve"> </v>
      </c>
      <c r="D158" s="188" t="str">
        <f t="shared" si="43"/>
        <v xml:space="preserve"> </v>
      </c>
      <c r="E158" s="194">
        <f>E157</f>
        <v>2050</v>
      </c>
      <c r="F158" s="194" t="str">
        <f t="shared" si="42"/>
        <v>max</v>
      </c>
      <c r="G158" s="188" t="str">
        <f t="shared" si="28"/>
        <v>-</v>
      </c>
      <c r="J158" s="191" t="s">
        <v>421</v>
      </c>
      <c r="K158" s="191" t="s">
        <v>422</v>
      </c>
      <c r="V158" s="183" cm="1">
        <f t="array" ref="V158:X158">'Technology Factsheet'!G67:I67</f>
        <v>0</v>
      </c>
      <c r="W158" s="183">
        <v>0</v>
      </c>
      <c r="X158" s="183">
        <v>0</v>
      </c>
    </row>
    <row r="159" spans="1:24" x14ac:dyDescent="0.25">
      <c r="A159" s="188">
        <f t="shared" si="40"/>
        <v>157</v>
      </c>
      <c r="B159" s="188" t="str">
        <f t="shared" si="43"/>
        <v>Emissions</v>
      </c>
      <c r="C159" s="188" t="str">
        <f t="shared" si="43"/>
        <v xml:space="preserve"> </v>
      </c>
      <c r="D159" s="188" t="str">
        <f t="shared" si="43"/>
        <v xml:space="preserve"> </v>
      </c>
      <c r="E159" s="194">
        <f>E158</f>
        <v>2050</v>
      </c>
      <c r="F159" s="194" t="str">
        <f t="shared" si="42"/>
        <v>main</v>
      </c>
      <c r="G159" s="188" t="str">
        <f t="shared" si="28"/>
        <v>-</v>
      </c>
      <c r="J159" s="191" t="s">
        <v>421</v>
      </c>
      <c r="K159" s="191" t="s">
        <v>422</v>
      </c>
      <c r="V159" s="183" t="str">
        <f>'Technology Factsheet'!J68</f>
        <v>Min</v>
      </c>
    </row>
    <row r="160" spans="1:24" x14ac:dyDescent="0.25">
      <c r="A160" s="188">
        <f t="shared" si="40"/>
        <v>158</v>
      </c>
      <c r="B160" s="188" t="s">
        <v>113</v>
      </c>
      <c r="C160" s="188" t="str">
        <f>Q167</f>
        <v xml:space="preserve"> </v>
      </c>
      <c r="D160" s="188" t="str">
        <f>Q165</f>
        <v xml:space="preserve"> </v>
      </c>
      <c r="E160" s="194">
        <f>$Q$38</f>
        <v>2020</v>
      </c>
      <c r="F160" s="194" t="s">
        <v>428</v>
      </c>
      <c r="G160" s="188" t="str">
        <f t="shared" si="28"/>
        <v>-</v>
      </c>
      <c r="J160" s="191" t="s">
        <v>421</v>
      </c>
      <c r="K160" s="191" t="s">
        <v>422</v>
      </c>
      <c r="V160" s="183" t="str">
        <f>'Technology Factsheet'!L68</f>
        <v>Max</v>
      </c>
    </row>
    <row r="161" spans="1:24" x14ac:dyDescent="0.25">
      <c r="A161" s="188">
        <f t="shared" si="40"/>
        <v>159</v>
      </c>
      <c r="B161" s="188" t="str">
        <f>B160</f>
        <v>Other</v>
      </c>
      <c r="C161" s="188" t="str">
        <f>C160</f>
        <v xml:space="preserve"> </v>
      </c>
      <c r="D161" s="188" t="str">
        <f>D160</f>
        <v xml:space="preserve"> </v>
      </c>
      <c r="E161" s="194">
        <f>E160</f>
        <v>2020</v>
      </c>
      <c r="F161" s="194" t="s">
        <v>429</v>
      </c>
      <c r="G161" s="188" t="str">
        <f t="shared" si="28"/>
        <v>-</v>
      </c>
      <c r="J161" s="191" t="s">
        <v>421</v>
      </c>
      <c r="K161" s="191" t="s">
        <v>422</v>
      </c>
      <c r="V161" s="183" cm="1">
        <f t="array" ref="V161:X161">'Technology Factsheet'!J67:L67</f>
        <v>0</v>
      </c>
      <c r="W161" s="183">
        <v>0</v>
      </c>
      <c r="X161" s="183">
        <v>0</v>
      </c>
    </row>
    <row r="162" spans="1:24" x14ac:dyDescent="0.25">
      <c r="A162" s="188">
        <f t="shared" si="40"/>
        <v>160</v>
      </c>
      <c r="B162" s="188" t="str">
        <f t="shared" ref="B162:D177" si="44">B161</f>
        <v>Other</v>
      </c>
      <c r="C162" s="188" t="str">
        <f t="shared" si="44"/>
        <v xml:space="preserve"> </v>
      </c>
      <c r="D162" s="188" t="str">
        <f t="shared" si="44"/>
        <v xml:space="preserve"> </v>
      </c>
      <c r="E162" s="194">
        <f>E161</f>
        <v>2020</v>
      </c>
      <c r="F162" s="194" t="s">
        <v>430</v>
      </c>
      <c r="G162" s="188" t="str">
        <f t="shared" ref="G162:G195" si="45">IF(OR(V167="Min", V167="Max", V167=0),"-",V167)</f>
        <v>-</v>
      </c>
      <c r="J162" s="191" t="s">
        <v>421</v>
      </c>
      <c r="K162" s="191" t="s">
        <v>422</v>
      </c>
      <c r="V162" s="183" t="str">
        <f>'Technology Factsheet'!M68</f>
        <v>Min</v>
      </c>
    </row>
    <row r="163" spans="1:24" x14ac:dyDescent="0.25">
      <c r="A163" s="188">
        <f t="shared" si="40"/>
        <v>161</v>
      </c>
      <c r="B163" s="188" t="str">
        <f t="shared" si="44"/>
        <v>Other</v>
      </c>
      <c r="C163" s="188" t="str">
        <f t="shared" si="44"/>
        <v xml:space="preserve"> </v>
      </c>
      <c r="D163" s="188" t="str">
        <f t="shared" si="44"/>
        <v xml:space="preserve"> </v>
      </c>
      <c r="E163" s="194">
        <f>$Q$40</f>
        <v>2030</v>
      </c>
      <c r="F163" s="194" t="str">
        <f>F160</f>
        <v>min</v>
      </c>
      <c r="G163" s="188" t="str">
        <f t="shared" si="45"/>
        <v>-</v>
      </c>
      <c r="J163" s="191" t="s">
        <v>421</v>
      </c>
      <c r="K163" s="191" t="s">
        <v>422</v>
      </c>
      <c r="V163" s="183" t="str">
        <f>'Technology Factsheet'!O68</f>
        <v>Max</v>
      </c>
    </row>
    <row r="164" spans="1:24" x14ac:dyDescent="0.25">
      <c r="A164" s="188">
        <f t="shared" si="40"/>
        <v>162</v>
      </c>
      <c r="B164" s="188" t="str">
        <f t="shared" si="44"/>
        <v>Other</v>
      </c>
      <c r="C164" s="188" t="str">
        <f t="shared" si="44"/>
        <v xml:space="preserve"> </v>
      </c>
      <c r="D164" s="188" t="str">
        <f t="shared" si="44"/>
        <v xml:space="preserve"> </v>
      </c>
      <c r="E164" s="194">
        <f>E163</f>
        <v>2030</v>
      </c>
      <c r="F164" s="194" t="str">
        <f t="shared" ref="F164:F168" si="46">F161</f>
        <v>max</v>
      </c>
      <c r="G164" s="188" t="str">
        <f t="shared" si="45"/>
        <v>-</v>
      </c>
      <c r="J164" s="191" t="s">
        <v>421</v>
      </c>
      <c r="K164" s="191" t="s">
        <v>422</v>
      </c>
      <c r="V164" s="183" cm="1">
        <f t="array" ref="V164:X164">'Technology Factsheet'!M67:O67</f>
        <v>0</v>
      </c>
      <c r="W164" s="183">
        <v>0</v>
      </c>
      <c r="X164" s="183">
        <v>0</v>
      </c>
    </row>
    <row r="165" spans="1:24" x14ac:dyDescent="0.25">
      <c r="A165" s="188">
        <f t="shared" si="40"/>
        <v>163</v>
      </c>
      <c r="B165" s="188" t="str">
        <f t="shared" si="44"/>
        <v>Other</v>
      </c>
      <c r="C165" s="188" t="str">
        <f t="shared" si="44"/>
        <v xml:space="preserve"> </v>
      </c>
      <c r="D165" s="188" t="str">
        <f t="shared" si="44"/>
        <v xml:space="preserve"> </v>
      </c>
      <c r="E165" s="194">
        <f>E164</f>
        <v>2030</v>
      </c>
      <c r="F165" s="194" t="str">
        <f t="shared" si="46"/>
        <v>main</v>
      </c>
      <c r="G165" s="188" t="str">
        <f t="shared" si="45"/>
        <v>-</v>
      </c>
      <c r="J165" s="191" t="s">
        <v>421</v>
      </c>
      <c r="K165" s="191" t="s">
        <v>422</v>
      </c>
      <c r="P165" s="183" t="s">
        <v>343</v>
      </c>
      <c r="Q165" s="183" t="str" cm="1">
        <f t="array" ref="Q165:R166">'Technology Factsheet'!B72:C73</f>
        <v xml:space="preserve"> </v>
      </c>
      <c r="R165" s="183">
        <v>0</v>
      </c>
      <c r="U165" s="183" t="s">
        <v>343</v>
      </c>
      <c r="V165" s="183" t="str">
        <f>'Technology Factsheet'!G73</f>
        <v>Min</v>
      </c>
    </row>
    <row r="166" spans="1:24" x14ac:dyDescent="0.25">
      <c r="A166" s="188">
        <f t="shared" si="40"/>
        <v>164</v>
      </c>
      <c r="B166" s="188" t="str">
        <f t="shared" si="44"/>
        <v>Other</v>
      </c>
      <c r="C166" s="188" t="str">
        <f t="shared" si="44"/>
        <v xml:space="preserve"> </v>
      </c>
      <c r="D166" s="188" t="str">
        <f t="shared" si="44"/>
        <v xml:space="preserve"> </v>
      </c>
      <c r="E166" s="194">
        <f>$Q$41</f>
        <v>2050</v>
      </c>
      <c r="F166" s="194" t="str">
        <f t="shared" si="46"/>
        <v>min</v>
      </c>
      <c r="G166" s="188" t="str">
        <f t="shared" si="45"/>
        <v>-</v>
      </c>
      <c r="J166" s="191" t="s">
        <v>421</v>
      </c>
      <c r="K166" s="191" t="s">
        <v>422</v>
      </c>
      <c r="Q166" s="183">
        <v>0</v>
      </c>
      <c r="R166" s="183">
        <v>0</v>
      </c>
      <c r="V166" s="183" t="str">
        <f>'Technology Factsheet'!I73</f>
        <v>Max</v>
      </c>
    </row>
    <row r="167" spans="1:24" x14ac:dyDescent="0.25">
      <c r="A167" s="188">
        <f t="shared" si="40"/>
        <v>165</v>
      </c>
      <c r="B167" s="188" t="str">
        <f t="shared" si="44"/>
        <v>Other</v>
      </c>
      <c r="C167" s="188" t="str">
        <f t="shared" si="44"/>
        <v xml:space="preserve"> </v>
      </c>
      <c r="D167" s="188" t="str">
        <f t="shared" si="44"/>
        <v xml:space="preserve"> </v>
      </c>
      <c r="E167" s="194">
        <f>E166</f>
        <v>2050</v>
      </c>
      <c r="F167" s="194" t="str">
        <f t="shared" si="46"/>
        <v>max</v>
      </c>
      <c r="G167" s="188" t="str">
        <f t="shared" si="45"/>
        <v>-</v>
      </c>
      <c r="J167" s="191" t="s">
        <v>421</v>
      </c>
      <c r="K167" s="191" t="s">
        <v>422</v>
      </c>
      <c r="Q167" s="183" t="str" cm="1">
        <f t="array" ref="Q167:S168">'Technology Factsheet'!D72:F73</f>
        <v xml:space="preserve"> </v>
      </c>
      <c r="R167" s="183">
        <v>0</v>
      </c>
      <c r="S167" s="183">
        <v>0</v>
      </c>
      <c r="V167" s="183" cm="1">
        <f t="array" ref="V167:X167">'Technology Factsheet'!G72:I72</f>
        <v>0</v>
      </c>
      <c r="W167" s="183">
        <v>0</v>
      </c>
      <c r="X167" s="183">
        <v>0</v>
      </c>
    </row>
    <row r="168" spans="1:24" x14ac:dyDescent="0.25">
      <c r="A168" s="188">
        <f t="shared" si="40"/>
        <v>166</v>
      </c>
      <c r="B168" s="188" t="str">
        <f t="shared" si="44"/>
        <v>Other</v>
      </c>
      <c r="C168" s="188" t="str">
        <f t="shared" si="44"/>
        <v xml:space="preserve"> </v>
      </c>
      <c r="D168" s="188" t="str">
        <f t="shared" si="44"/>
        <v xml:space="preserve"> </v>
      </c>
      <c r="E168" s="194">
        <f>E167</f>
        <v>2050</v>
      </c>
      <c r="F168" s="194" t="str">
        <f t="shared" si="46"/>
        <v>main</v>
      </c>
      <c r="G168" s="188" t="str">
        <f t="shared" si="45"/>
        <v>-</v>
      </c>
      <c r="J168" s="191" t="s">
        <v>421</v>
      </c>
      <c r="K168" s="191" t="s">
        <v>422</v>
      </c>
      <c r="Q168" s="183">
        <v>0</v>
      </c>
      <c r="R168" s="183">
        <v>0</v>
      </c>
      <c r="S168" s="183">
        <v>0</v>
      </c>
      <c r="V168" s="183" t="str">
        <f>'Technology Factsheet'!J73</f>
        <v>Min</v>
      </c>
    </row>
    <row r="169" spans="1:24" x14ac:dyDescent="0.25">
      <c r="A169" s="188">
        <f t="shared" si="40"/>
        <v>167</v>
      </c>
      <c r="B169" s="188" t="str">
        <f t="shared" si="44"/>
        <v>Other</v>
      </c>
      <c r="C169" s="188" t="str">
        <f>Q171</f>
        <v xml:space="preserve"> </v>
      </c>
      <c r="D169" s="188" t="str">
        <f>Q169</f>
        <v xml:space="preserve"> </v>
      </c>
      <c r="E169" s="194">
        <f>$Q$38</f>
        <v>2020</v>
      </c>
      <c r="F169" s="194" t="s">
        <v>428</v>
      </c>
      <c r="G169" s="188" t="str">
        <f t="shared" si="45"/>
        <v>-</v>
      </c>
      <c r="J169" s="191" t="s">
        <v>421</v>
      </c>
      <c r="K169" s="191" t="s">
        <v>422</v>
      </c>
      <c r="Q169" s="183" t="str" cm="1">
        <f t="array" ref="Q169:R170">'Technology Factsheet'!B74:C75</f>
        <v xml:space="preserve"> </v>
      </c>
      <c r="R169" s="183">
        <v>0</v>
      </c>
      <c r="V169" s="183" t="str">
        <f>'Technology Factsheet'!L73</f>
        <v>Max</v>
      </c>
    </row>
    <row r="170" spans="1:24" x14ac:dyDescent="0.25">
      <c r="A170" s="188">
        <f t="shared" si="40"/>
        <v>168</v>
      </c>
      <c r="B170" s="188" t="str">
        <f t="shared" si="44"/>
        <v>Other</v>
      </c>
      <c r="C170" s="188" t="str">
        <f>C169</f>
        <v xml:space="preserve"> </v>
      </c>
      <c r="D170" s="188" t="str">
        <f>D169</f>
        <v xml:space="preserve"> </v>
      </c>
      <c r="E170" s="194">
        <f>E169</f>
        <v>2020</v>
      </c>
      <c r="F170" s="194" t="s">
        <v>429</v>
      </c>
      <c r="G170" s="188" t="str">
        <f t="shared" si="45"/>
        <v>-</v>
      </c>
      <c r="J170" s="191" t="s">
        <v>421</v>
      </c>
      <c r="K170" s="191" t="s">
        <v>422</v>
      </c>
      <c r="Q170" s="183">
        <v>0</v>
      </c>
      <c r="R170" s="183">
        <v>0</v>
      </c>
      <c r="V170" s="183" cm="1">
        <f t="array" ref="V170:X170">'Technology Factsheet'!J72:L72</f>
        <v>0</v>
      </c>
      <c r="W170" s="183">
        <v>0</v>
      </c>
      <c r="X170" s="183">
        <v>0</v>
      </c>
    </row>
    <row r="171" spans="1:24" x14ac:dyDescent="0.25">
      <c r="A171" s="188">
        <f t="shared" si="40"/>
        <v>169</v>
      </c>
      <c r="B171" s="188" t="str">
        <f t="shared" si="44"/>
        <v>Other</v>
      </c>
      <c r="C171" s="188" t="str">
        <f t="shared" si="44"/>
        <v xml:space="preserve"> </v>
      </c>
      <c r="D171" s="188" t="str">
        <f t="shared" si="44"/>
        <v xml:space="preserve"> </v>
      </c>
      <c r="E171" s="194">
        <f>E170</f>
        <v>2020</v>
      </c>
      <c r="F171" s="194" t="s">
        <v>430</v>
      </c>
      <c r="G171" s="188" t="str">
        <f t="shared" si="45"/>
        <v>-</v>
      </c>
      <c r="J171" s="191" t="s">
        <v>421</v>
      </c>
      <c r="K171" s="191" t="s">
        <v>422</v>
      </c>
      <c r="Q171" s="183" t="str" cm="1">
        <f t="array" ref="Q171:S172">'Technology Factsheet'!D74:F75</f>
        <v xml:space="preserve"> </v>
      </c>
      <c r="R171" s="183">
        <v>0</v>
      </c>
      <c r="S171" s="183">
        <v>0</v>
      </c>
      <c r="V171" s="183" t="str">
        <f>'Technology Factsheet'!M73</f>
        <v>Min</v>
      </c>
    </row>
    <row r="172" spans="1:24" x14ac:dyDescent="0.25">
      <c r="A172" s="188">
        <f t="shared" si="40"/>
        <v>170</v>
      </c>
      <c r="B172" s="188" t="str">
        <f t="shared" si="44"/>
        <v>Other</v>
      </c>
      <c r="C172" s="188" t="str">
        <f t="shared" si="44"/>
        <v xml:space="preserve"> </v>
      </c>
      <c r="D172" s="188" t="str">
        <f t="shared" si="44"/>
        <v xml:space="preserve"> </v>
      </c>
      <c r="E172" s="194">
        <f>$Q$40</f>
        <v>2030</v>
      </c>
      <c r="F172" s="194" t="str">
        <f>F169</f>
        <v>min</v>
      </c>
      <c r="G172" s="188" t="str">
        <f t="shared" si="45"/>
        <v>-</v>
      </c>
      <c r="J172" s="191" t="s">
        <v>421</v>
      </c>
      <c r="K172" s="191" t="s">
        <v>422</v>
      </c>
      <c r="Q172" s="183">
        <v>0</v>
      </c>
      <c r="R172" s="183">
        <v>0</v>
      </c>
      <c r="S172" s="183">
        <v>0</v>
      </c>
      <c r="V172" s="183" t="str">
        <f>'Technology Factsheet'!O73</f>
        <v>Max</v>
      </c>
    </row>
    <row r="173" spans="1:24" x14ac:dyDescent="0.25">
      <c r="A173" s="188">
        <f t="shared" si="40"/>
        <v>171</v>
      </c>
      <c r="B173" s="188" t="str">
        <f t="shared" si="44"/>
        <v>Other</v>
      </c>
      <c r="C173" s="188" t="str">
        <f t="shared" si="44"/>
        <v xml:space="preserve"> </v>
      </c>
      <c r="D173" s="188" t="str">
        <f t="shared" si="44"/>
        <v xml:space="preserve"> </v>
      </c>
      <c r="E173" s="194">
        <f>E172</f>
        <v>2030</v>
      </c>
      <c r="F173" s="194" t="str">
        <f t="shared" ref="F173:F177" si="47">F170</f>
        <v>max</v>
      </c>
      <c r="G173" s="188" t="str">
        <f t="shared" si="45"/>
        <v>-</v>
      </c>
      <c r="J173" s="191" t="s">
        <v>421</v>
      </c>
      <c r="K173" s="191" t="s">
        <v>422</v>
      </c>
      <c r="Q173" s="183" t="str" cm="1">
        <f t="array" ref="Q173:R174">'Technology Factsheet'!B76:C77</f>
        <v xml:space="preserve"> </v>
      </c>
      <c r="R173" s="183">
        <v>0</v>
      </c>
      <c r="V173" s="183" cm="1">
        <f t="array" ref="V173:X173">'Technology Factsheet'!M72:O72</f>
        <v>0</v>
      </c>
      <c r="W173" s="183">
        <v>0</v>
      </c>
      <c r="X173" s="183">
        <v>0</v>
      </c>
    </row>
    <row r="174" spans="1:24" x14ac:dyDescent="0.25">
      <c r="A174" s="188">
        <f t="shared" si="40"/>
        <v>172</v>
      </c>
      <c r="B174" s="188" t="str">
        <f t="shared" si="44"/>
        <v>Other</v>
      </c>
      <c r="C174" s="188" t="str">
        <f t="shared" si="44"/>
        <v xml:space="preserve"> </v>
      </c>
      <c r="D174" s="188" t="str">
        <f t="shared" si="44"/>
        <v xml:space="preserve"> </v>
      </c>
      <c r="E174" s="194">
        <f>E173</f>
        <v>2030</v>
      </c>
      <c r="F174" s="194" t="str">
        <f t="shared" si="47"/>
        <v>main</v>
      </c>
      <c r="G174" s="188" t="str">
        <f t="shared" si="45"/>
        <v>-</v>
      </c>
      <c r="J174" s="191" t="s">
        <v>421</v>
      </c>
      <c r="K174" s="191" t="s">
        <v>422</v>
      </c>
      <c r="Q174" s="183">
        <v>0</v>
      </c>
      <c r="R174" s="183">
        <v>0</v>
      </c>
      <c r="V174" s="183" t="str">
        <f>'Technology Factsheet'!G75</f>
        <v>Min</v>
      </c>
    </row>
    <row r="175" spans="1:24" x14ac:dyDescent="0.25">
      <c r="A175" s="188">
        <f t="shared" si="40"/>
        <v>173</v>
      </c>
      <c r="B175" s="188" t="str">
        <f t="shared" si="44"/>
        <v>Other</v>
      </c>
      <c r="C175" s="188" t="str">
        <f t="shared" si="44"/>
        <v xml:space="preserve"> </v>
      </c>
      <c r="D175" s="188" t="str">
        <f t="shared" si="44"/>
        <v xml:space="preserve"> </v>
      </c>
      <c r="E175" s="194">
        <f>$Q$41</f>
        <v>2050</v>
      </c>
      <c r="F175" s="194" t="str">
        <f t="shared" si="47"/>
        <v>min</v>
      </c>
      <c r="G175" s="188" t="str">
        <f t="shared" si="45"/>
        <v>-</v>
      </c>
      <c r="J175" s="191" t="s">
        <v>421</v>
      </c>
      <c r="K175" s="191" t="s">
        <v>422</v>
      </c>
      <c r="Q175" s="183" t="str" cm="1">
        <f t="array" ref="Q175:S176">'Technology Factsheet'!D76:F77</f>
        <v xml:space="preserve"> </v>
      </c>
      <c r="R175" s="183">
        <v>0</v>
      </c>
      <c r="S175" s="183">
        <v>0</v>
      </c>
      <c r="V175" s="183" t="str">
        <f>'Technology Factsheet'!I75</f>
        <v>Max</v>
      </c>
    </row>
    <row r="176" spans="1:24" x14ac:dyDescent="0.25">
      <c r="A176" s="188">
        <f t="shared" si="40"/>
        <v>174</v>
      </c>
      <c r="B176" s="188" t="str">
        <f t="shared" si="44"/>
        <v>Other</v>
      </c>
      <c r="C176" s="188" t="str">
        <f t="shared" si="44"/>
        <v xml:space="preserve"> </v>
      </c>
      <c r="D176" s="188" t="str">
        <f t="shared" si="44"/>
        <v xml:space="preserve"> </v>
      </c>
      <c r="E176" s="194">
        <f>E175</f>
        <v>2050</v>
      </c>
      <c r="F176" s="194" t="str">
        <f t="shared" si="47"/>
        <v>max</v>
      </c>
      <c r="G176" s="188" t="str">
        <f t="shared" si="45"/>
        <v>-</v>
      </c>
      <c r="J176" s="191" t="s">
        <v>421</v>
      </c>
      <c r="K176" s="191" t="s">
        <v>422</v>
      </c>
      <c r="Q176" s="183">
        <v>0</v>
      </c>
      <c r="R176" s="183">
        <v>0</v>
      </c>
      <c r="S176" s="183">
        <v>0</v>
      </c>
      <c r="V176" s="183" cm="1">
        <f t="array" ref="V176:X176">'Technology Factsheet'!G74:I74</f>
        <v>0</v>
      </c>
      <c r="W176" s="183">
        <v>0</v>
      </c>
      <c r="X176" s="183">
        <v>0</v>
      </c>
    </row>
    <row r="177" spans="1:24" x14ac:dyDescent="0.25">
      <c r="A177" s="188">
        <f t="shared" si="40"/>
        <v>175</v>
      </c>
      <c r="B177" s="188" t="str">
        <f t="shared" si="44"/>
        <v>Other</v>
      </c>
      <c r="C177" s="188" t="str">
        <f t="shared" si="44"/>
        <v xml:space="preserve"> </v>
      </c>
      <c r="D177" s="188" t="str">
        <f t="shared" si="44"/>
        <v xml:space="preserve"> </v>
      </c>
      <c r="E177" s="194">
        <f>E176</f>
        <v>2050</v>
      </c>
      <c r="F177" s="194" t="str">
        <f t="shared" si="47"/>
        <v>main</v>
      </c>
      <c r="G177" s="188" t="str">
        <f t="shared" si="45"/>
        <v>-</v>
      </c>
      <c r="J177" s="191" t="s">
        <v>421</v>
      </c>
      <c r="K177" s="191" t="s">
        <v>422</v>
      </c>
      <c r="Q177" s="183" t="str" cm="1">
        <f t="array" ref="Q177:R178">'Technology Factsheet'!B78:C79</f>
        <v xml:space="preserve"> </v>
      </c>
      <c r="R177" s="183">
        <v>0</v>
      </c>
      <c r="V177" s="183" t="str">
        <f>'Technology Factsheet'!J75</f>
        <v>Min</v>
      </c>
    </row>
    <row r="178" spans="1:24" x14ac:dyDescent="0.25">
      <c r="A178" s="188">
        <f t="shared" si="40"/>
        <v>176</v>
      </c>
      <c r="B178" s="188" t="str">
        <f t="shared" ref="B178:D193" si="48">B177</f>
        <v>Other</v>
      </c>
      <c r="C178" s="188" t="str">
        <f>Q175</f>
        <v xml:space="preserve"> </v>
      </c>
      <c r="D178" s="188" t="str">
        <f>Q173</f>
        <v xml:space="preserve"> </v>
      </c>
      <c r="E178" s="194">
        <f>$Q$38</f>
        <v>2020</v>
      </c>
      <c r="F178" s="194" t="s">
        <v>428</v>
      </c>
      <c r="G178" s="188" t="str">
        <f t="shared" si="45"/>
        <v>-</v>
      </c>
      <c r="J178" s="191" t="s">
        <v>421</v>
      </c>
      <c r="K178" s="191" t="s">
        <v>422</v>
      </c>
      <c r="Q178" s="183">
        <v>0</v>
      </c>
      <c r="R178" s="183">
        <v>0</v>
      </c>
      <c r="V178" s="183" t="str">
        <f>'Technology Factsheet'!L75</f>
        <v>Max</v>
      </c>
    </row>
    <row r="179" spans="1:24" x14ac:dyDescent="0.25">
      <c r="A179" s="188">
        <f t="shared" si="40"/>
        <v>177</v>
      </c>
      <c r="B179" s="188" t="str">
        <f t="shared" si="48"/>
        <v>Other</v>
      </c>
      <c r="C179" s="188" t="str">
        <f>C178</f>
        <v xml:space="preserve"> </v>
      </c>
      <c r="D179" s="188" t="str">
        <f>D178</f>
        <v xml:space="preserve"> </v>
      </c>
      <c r="E179" s="194">
        <f>E178</f>
        <v>2020</v>
      </c>
      <c r="F179" s="194" t="s">
        <v>429</v>
      </c>
      <c r="G179" s="188" t="str">
        <f t="shared" si="45"/>
        <v>-</v>
      </c>
      <c r="J179" s="191" t="s">
        <v>421</v>
      </c>
      <c r="K179" s="191" t="s">
        <v>422</v>
      </c>
      <c r="Q179" s="183" t="str" cm="1">
        <f t="array" ref="Q179:S180">'Technology Factsheet'!D78:F79</f>
        <v xml:space="preserve"> </v>
      </c>
      <c r="R179" s="183">
        <v>0</v>
      </c>
      <c r="S179" s="183">
        <v>0</v>
      </c>
      <c r="V179" s="183" cm="1">
        <f t="array" ref="V179:X179">'Technology Factsheet'!J74:L74</f>
        <v>0</v>
      </c>
      <c r="W179" s="183">
        <v>0</v>
      </c>
      <c r="X179" s="183">
        <v>0</v>
      </c>
    </row>
    <row r="180" spans="1:24" x14ac:dyDescent="0.25">
      <c r="A180" s="188">
        <f t="shared" si="40"/>
        <v>178</v>
      </c>
      <c r="B180" s="188" t="str">
        <f t="shared" si="48"/>
        <v>Other</v>
      </c>
      <c r="C180" s="188" t="str">
        <f t="shared" si="48"/>
        <v xml:space="preserve"> </v>
      </c>
      <c r="D180" s="188" t="str">
        <f t="shared" si="48"/>
        <v xml:space="preserve"> </v>
      </c>
      <c r="E180" s="194">
        <f>E179</f>
        <v>2020</v>
      </c>
      <c r="F180" s="194" t="s">
        <v>430</v>
      </c>
      <c r="G180" s="188" t="str">
        <f t="shared" si="45"/>
        <v>-</v>
      </c>
      <c r="J180" s="191" t="s">
        <v>421</v>
      </c>
      <c r="K180" s="191" t="s">
        <v>422</v>
      </c>
      <c r="Q180" s="183">
        <v>0</v>
      </c>
      <c r="R180" s="183">
        <v>0</v>
      </c>
      <c r="S180" s="183">
        <v>0</v>
      </c>
      <c r="V180" s="183" t="str">
        <f>'Technology Factsheet'!M75</f>
        <v>Min</v>
      </c>
    </row>
    <row r="181" spans="1:24" x14ac:dyDescent="0.25">
      <c r="A181" s="188">
        <f t="shared" si="40"/>
        <v>179</v>
      </c>
      <c r="B181" s="188" t="str">
        <f t="shared" si="48"/>
        <v>Other</v>
      </c>
      <c r="C181" s="188" t="str">
        <f t="shared" si="48"/>
        <v xml:space="preserve"> </v>
      </c>
      <c r="D181" s="188" t="str">
        <f t="shared" si="48"/>
        <v xml:space="preserve"> </v>
      </c>
      <c r="E181" s="194">
        <f>$Q$40</f>
        <v>2030</v>
      </c>
      <c r="F181" s="194" t="str">
        <f>F178</f>
        <v>min</v>
      </c>
      <c r="G181" s="188" t="str">
        <f t="shared" si="45"/>
        <v>-</v>
      </c>
      <c r="J181" s="191" t="s">
        <v>421</v>
      </c>
      <c r="K181" s="191" t="s">
        <v>422</v>
      </c>
      <c r="V181" s="183" t="str">
        <f>'Technology Factsheet'!O75</f>
        <v>Max</v>
      </c>
    </row>
    <row r="182" spans="1:24" x14ac:dyDescent="0.25">
      <c r="A182" s="188">
        <f t="shared" si="40"/>
        <v>180</v>
      </c>
      <c r="B182" s="188" t="str">
        <f t="shared" si="48"/>
        <v>Other</v>
      </c>
      <c r="C182" s="188" t="str">
        <f t="shared" si="48"/>
        <v xml:space="preserve"> </v>
      </c>
      <c r="D182" s="188" t="str">
        <f t="shared" si="48"/>
        <v xml:space="preserve"> </v>
      </c>
      <c r="E182" s="194">
        <f>E181</f>
        <v>2030</v>
      </c>
      <c r="F182" s="194" t="str">
        <f t="shared" ref="F182:F186" si="49">F179</f>
        <v>max</v>
      </c>
      <c r="G182" s="188" t="str">
        <f t="shared" si="45"/>
        <v>-</v>
      </c>
      <c r="J182" s="191" t="s">
        <v>421</v>
      </c>
      <c r="K182" s="191" t="s">
        <v>422</v>
      </c>
      <c r="V182" s="183" cm="1">
        <f t="array" ref="V182:X182">'Technology Factsheet'!M74:O74</f>
        <v>0</v>
      </c>
      <c r="W182" s="183">
        <v>0</v>
      </c>
      <c r="X182" s="183">
        <v>0</v>
      </c>
    </row>
    <row r="183" spans="1:24" x14ac:dyDescent="0.25">
      <c r="A183" s="188">
        <f t="shared" si="40"/>
        <v>181</v>
      </c>
      <c r="B183" s="188" t="str">
        <f t="shared" si="48"/>
        <v>Other</v>
      </c>
      <c r="C183" s="188" t="str">
        <f t="shared" si="48"/>
        <v xml:space="preserve"> </v>
      </c>
      <c r="D183" s="188" t="str">
        <f t="shared" si="48"/>
        <v xml:space="preserve"> </v>
      </c>
      <c r="E183" s="194">
        <f>E182</f>
        <v>2030</v>
      </c>
      <c r="F183" s="194" t="str">
        <f t="shared" si="49"/>
        <v>main</v>
      </c>
      <c r="G183" s="188" t="str">
        <f t="shared" si="45"/>
        <v>-</v>
      </c>
      <c r="J183" s="191" t="s">
        <v>421</v>
      </c>
      <c r="K183" s="191" t="s">
        <v>422</v>
      </c>
      <c r="V183" s="183" t="str">
        <f>'Technology Factsheet'!G77</f>
        <v>Min</v>
      </c>
    </row>
    <row r="184" spans="1:24" x14ac:dyDescent="0.25">
      <c r="A184" s="188">
        <f t="shared" si="40"/>
        <v>182</v>
      </c>
      <c r="B184" s="188" t="str">
        <f t="shared" si="48"/>
        <v>Other</v>
      </c>
      <c r="C184" s="188" t="str">
        <f t="shared" si="48"/>
        <v xml:space="preserve"> </v>
      </c>
      <c r="D184" s="188" t="str">
        <f t="shared" si="48"/>
        <v xml:space="preserve"> </v>
      </c>
      <c r="E184" s="194">
        <f>$Q$41</f>
        <v>2050</v>
      </c>
      <c r="F184" s="194" t="str">
        <f t="shared" si="49"/>
        <v>min</v>
      </c>
      <c r="G184" s="188" t="str">
        <f t="shared" si="45"/>
        <v>-</v>
      </c>
      <c r="J184" s="191" t="s">
        <v>421</v>
      </c>
      <c r="K184" s="191" t="s">
        <v>422</v>
      </c>
      <c r="V184" s="183" t="str">
        <f>'Technology Factsheet'!I77</f>
        <v>Max</v>
      </c>
    </row>
    <row r="185" spans="1:24" x14ac:dyDescent="0.25">
      <c r="A185" s="188">
        <f t="shared" si="40"/>
        <v>183</v>
      </c>
      <c r="B185" s="188" t="str">
        <f t="shared" si="48"/>
        <v>Other</v>
      </c>
      <c r="C185" s="188" t="str">
        <f t="shared" si="48"/>
        <v xml:space="preserve"> </v>
      </c>
      <c r="D185" s="188" t="str">
        <f t="shared" si="48"/>
        <v xml:space="preserve"> </v>
      </c>
      <c r="E185" s="194">
        <f>E184</f>
        <v>2050</v>
      </c>
      <c r="F185" s="194" t="str">
        <f t="shared" si="49"/>
        <v>max</v>
      </c>
      <c r="G185" s="188" t="str">
        <f t="shared" si="45"/>
        <v>-</v>
      </c>
      <c r="J185" s="191" t="s">
        <v>421</v>
      </c>
      <c r="K185" s="191" t="s">
        <v>422</v>
      </c>
      <c r="V185" s="183" cm="1">
        <f t="array" ref="V185:X185">'Technology Factsheet'!G76:I76</f>
        <v>0</v>
      </c>
      <c r="W185" s="183">
        <v>0</v>
      </c>
      <c r="X185" s="183">
        <v>0</v>
      </c>
    </row>
    <row r="186" spans="1:24" x14ac:dyDescent="0.25">
      <c r="A186" s="188">
        <f t="shared" si="40"/>
        <v>184</v>
      </c>
      <c r="B186" s="188" t="str">
        <f t="shared" si="48"/>
        <v>Other</v>
      </c>
      <c r="C186" s="188" t="str">
        <f t="shared" si="48"/>
        <v xml:space="preserve"> </v>
      </c>
      <c r="D186" s="188" t="str">
        <f t="shared" si="48"/>
        <v xml:space="preserve"> </v>
      </c>
      <c r="E186" s="194">
        <f>E185</f>
        <v>2050</v>
      </c>
      <c r="F186" s="194" t="str">
        <f t="shared" si="49"/>
        <v>main</v>
      </c>
      <c r="G186" s="188" t="str">
        <f t="shared" si="45"/>
        <v>-</v>
      </c>
      <c r="J186" s="191" t="s">
        <v>421</v>
      </c>
      <c r="K186" s="191" t="s">
        <v>422</v>
      </c>
      <c r="V186" s="183" t="str">
        <f>'Technology Factsheet'!J77</f>
        <v>Min</v>
      </c>
    </row>
    <row r="187" spans="1:24" x14ac:dyDescent="0.25">
      <c r="A187" s="188">
        <f t="shared" si="40"/>
        <v>185</v>
      </c>
      <c r="B187" s="188" t="str">
        <f t="shared" si="48"/>
        <v>Other</v>
      </c>
      <c r="C187" s="188" t="str">
        <f>Q179</f>
        <v xml:space="preserve"> </v>
      </c>
      <c r="D187" s="188" t="str">
        <f>Q177</f>
        <v xml:space="preserve"> </v>
      </c>
      <c r="E187" s="194">
        <f>$Q$38</f>
        <v>2020</v>
      </c>
      <c r="F187" s="194" t="s">
        <v>428</v>
      </c>
      <c r="G187" s="188" t="str">
        <f t="shared" si="45"/>
        <v>-</v>
      </c>
      <c r="J187" s="191" t="s">
        <v>421</v>
      </c>
      <c r="K187" s="191" t="s">
        <v>422</v>
      </c>
      <c r="V187" s="183" t="str">
        <f>'Technology Factsheet'!L77</f>
        <v>Max</v>
      </c>
    </row>
    <row r="188" spans="1:24" x14ac:dyDescent="0.25">
      <c r="A188" s="188">
        <f t="shared" si="40"/>
        <v>186</v>
      </c>
      <c r="B188" s="188" t="str">
        <f t="shared" si="48"/>
        <v>Other</v>
      </c>
      <c r="C188" s="188" t="str">
        <f>C187</f>
        <v xml:space="preserve"> </v>
      </c>
      <c r="D188" s="188" t="str">
        <f>D187</f>
        <v xml:space="preserve"> </v>
      </c>
      <c r="E188" s="194">
        <f>E187</f>
        <v>2020</v>
      </c>
      <c r="F188" s="194" t="s">
        <v>429</v>
      </c>
      <c r="G188" s="188" t="str">
        <f t="shared" si="45"/>
        <v>-</v>
      </c>
      <c r="J188" s="191" t="s">
        <v>421</v>
      </c>
      <c r="K188" s="191" t="s">
        <v>422</v>
      </c>
      <c r="V188" s="183" cm="1">
        <f t="array" ref="V188:X188">'Technology Factsheet'!J76:L76</f>
        <v>0</v>
      </c>
      <c r="W188" s="183">
        <v>0</v>
      </c>
      <c r="X188" s="183">
        <v>0</v>
      </c>
    </row>
    <row r="189" spans="1:24" x14ac:dyDescent="0.25">
      <c r="A189" s="188">
        <f t="shared" si="40"/>
        <v>187</v>
      </c>
      <c r="B189" s="188" t="str">
        <f t="shared" si="48"/>
        <v>Other</v>
      </c>
      <c r="C189" s="188" t="str">
        <f t="shared" si="48"/>
        <v xml:space="preserve"> </v>
      </c>
      <c r="D189" s="188" t="str">
        <f t="shared" si="48"/>
        <v xml:space="preserve"> </v>
      </c>
      <c r="E189" s="194">
        <f>E188</f>
        <v>2020</v>
      </c>
      <c r="F189" s="194" t="s">
        <v>430</v>
      </c>
      <c r="G189" s="188" t="str">
        <f t="shared" si="45"/>
        <v>-</v>
      </c>
      <c r="J189" s="191" t="s">
        <v>421</v>
      </c>
      <c r="K189" s="191" t="s">
        <v>422</v>
      </c>
      <c r="V189" s="183" t="str">
        <f>'Technology Factsheet'!M77</f>
        <v>Min</v>
      </c>
    </row>
    <row r="190" spans="1:24" x14ac:dyDescent="0.25">
      <c r="A190" s="188">
        <f t="shared" si="40"/>
        <v>188</v>
      </c>
      <c r="B190" s="188" t="str">
        <f t="shared" si="48"/>
        <v>Other</v>
      </c>
      <c r="C190" s="188" t="str">
        <f t="shared" si="48"/>
        <v xml:space="preserve"> </v>
      </c>
      <c r="D190" s="188" t="str">
        <f t="shared" si="48"/>
        <v xml:space="preserve"> </v>
      </c>
      <c r="E190" s="194">
        <f>$Q$40</f>
        <v>2030</v>
      </c>
      <c r="F190" s="194" t="str">
        <f>F187</f>
        <v>min</v>
      </c>
      <c r="G190" s="188" t="str">
        <f t="shared" si="45"/>
        <v>-</v>
      </c>
      <c r="J190" s="191" t="s">
        <v>421</v>
      </c>
      <c r="K190" s="191" t="s">
        <v>422</v>
      </c>
      <c r="V190" s="183" t="str">
        <f>'Technology Factsheet'!O77</f>
        <v>Max</v>
      </c>
    </row>
    <row r="191" spans="1:24" x14ac:dyDescent="0.25">
      <c r="A191" s="188">
        <f t="shared" si="40"/>
        <v>189</v>
      </c>
      <c r="B191" s="188" t="str">
        <f t="shared" si="48"/>
        <v>Other</v>
      </c>
      <c r="C191" s="188" t="str">
        <f t="shared" si="48"/>
        <v xml:space="preserve"> </v>
      </c>
      <c r="D191" s="188" t="str">
        <f t="shared" si="48"/>
        <v xml:space="preserve"> </v>
      </c>
      <c r="E191" s="194">
        <f>E190</f>
        <v>2030</v>
      </c>
      <c r="F191" s="194" t="str">
        <f t="shared" ref="F191:F195" si="50">F188</f>
        <v>max</v>
      </c>
      <c r="G191" s="188" t="str">
        <f t="shared" si="45"/>
        <v>-</v>
      </c>
      <c r="J191" s="191" t="s">
        <v>421</v>
      </c>
      <c r="K191" s="191" t="s">
        <v>422</v>
      </c>
      <c r="V191" s="183" cm="1">
        <f t="array" ref="V191:X191">'Technology Factsheet'!M76:O76</f>
        <v>0</v>
      </c>
      <c r="W191" s="183">
        <v>0</v>
      </c>
      <c r="X191" s="183">
        <v>0</v>
      </c>
    </row>
    <row r="192" spans="1:24" x14ac:dyDescent="0.25">
      <c r="A192" s="188">
        <f t="shared" si="40"/>
        <v>190</v>
      </c>
      <c r="B192" s="188" t="str">
        <f t="shared" si="48"/>
        <v>Other</v>
      </c>
      <c r="C192" s="188" t="str">
        <f t="shared" si="48"/>
        <v xml:space="preserve"> </v>
      </c>
      <c r="D192" s="188" t="str">
        <f t="shared" si="48"/>
        <v xml:space="preserve"> </v>
      </c>
      <c r="E192" s="194">
        <f>E191</f>
        <v>2030</v>
      </c>
      <c r="F192" s="194" t="str">
        <f t="shared" si="50"/>
        <v>main</v>
      </c>
      <c r="G192" s="188" t="str">
        <f t="shared" si="45"/>
        <v>-</v>
      </c>
      <c r="J192" s="191" t="s">
        <v>421</v>
      </c>
      <c r="K192" s="191" t="s">
        <v>422</v>
      </c>
      <c r="V192" s="183" t="str">
        <f>'Technology Factsheet'!G79</f>
        <v>Min</v>
      </c>
    </row>
    <row r="193" spans="1:24" x14ac:dyDescent="0.25">
      <c r="A193" s="188">
        <f t="shared" si="40"/>
        <v>191</v>
      </c>
      <c r="B193" s="188" t="str">
        <f t="shared" si="48"/>
        <v>Other</v>
      </c>
      <c r="C193" s="188" t="str">
        <f t="shared" si="48"/>
        <v xml:space="preserve"> </v>
      </c>
      <c r="D193" s="188" t="str">
        <f t="shared" si="48"/>
        <v xml:space="preserve"> </v>
      </c>
      <c r="E193" s="194">
        <f>$Q$41</f>
        <v>2050</v>
      </c>
      <c r="F193" s="194" t="str">
        <f t="shared" si="50"/>
        <v>min</v>
      </c>
      <c r="G193" s="188" t="str">
        <f t="shared" si="45"/>
        <v>-</v>
      </c>
      <c r="J193" s="191" t="s">
        <v>421</v>
      </c>
      <c r="K193" s="191" t="s">
        <v>422</v>
      </c>
      <c r="V193" s="183" t="str">
        <f>'Technology Factsheet'!I79</f>
        <v>Max</v>
      </c>
    </row>
    <row r="194" spans="1:24" x14ac:dyDescent="0.25">
      <c r="A194" s="188">
        <f t="shared" si="40"/>
        <v>192</v>
      </c>
      <c r="B194" s="188" t="str">
        <f t="shared" ref="B194:D195" si="51">B193</f>
        <v>Other</v>
      </c>
      <c r="C194" s="188" t="str">
        <f t="shared" si="51"/>
        <v xml:space="preserve"> </v>
      </c>
      <c r="D194" s="188" t="str">
        <f t="shared" si="51"/>
        <v xml:space="preserve"> </v>
      </c>
      <c r="E194" s="194">
        <f>E193</f>
        <v>2050</v>
      </c>
      <c r="F194" s="194" t="str">
        <f t="shared" si="50"/>
        <v>max</v>
      </c>
      <c r="G194" s="188" t="str">
        <f t="shared" si="45"/>
        <v>-</v>
      </c>
      <c r="J194" s="191" t="s">
        <v>421</v>
      </c>
      <c r="K194" s="191" t="s">
        <v>422</v>
      </c>
      <c r="V194" s="183" cm="1">
        <f t="array" ref="V194:X194">'Technology Factsheet'!G78:I78</f>
        <v>0</v>
      </c>
      <c r="W194" s="183">
        <v>0</v>
      </c>
      <c r="X194" s="183">
        <v>0</v>
      </c>
    </row>
    <row r="195" spans="1:24" x14ac:dyDescent="0.25">
      <c r="A195" s="188">
        <f t="shared" si="40"/>
        <v>193</v>
      </c>
      <c r="B195" s="188" t="str">
        <f t="shared" si="51"/>
        <v>Other</v>
      </c>
      <c r="C195" s="188" t="str">
        <f t="shared" si="51"/>
        <v xml:space="preserve"> </v>
      </c>
      <c r="D195" s="188" t="str">
        <f t="shared" si="51"/>
        <v xml:space="preserve"> </v>
      </c>
      <c r="E195" s="194">
        <f>E194</f>
        <v>2050</v>
      </c>
      <c r="F195" s="194" t="str">
        <f t="shared" si="50"/>
        <v>main</v>
      </c>
      <c r="G195" s="188" t="str">
        <f t="shared" si="45"/>
        <v>-</v>
      </c>
      <c r="J195" s="191" t="s">
        <v>421</v>
      </c>
      <c r="K195" s="191" t="s">
        <v>422</v>
      </c>
      <c r="V195" s="183" t="str">
        <f>'Technology Factsheet'!J79</f>
        <v>Min</v>
      </c>
    </row>
    <row r="196" spans="1:24" x14ac:dyDescent="0.25">
      <c r="V196" s="183" t="str">
        <f>'Technology Factsheet'!L79</f>
        <v>Max</v>
      </c>
    </row>
    <row r="197" spans="1:24" x14ac:dyDescent="0.25">
      <c r="V197" s="183" cm="1">
        <f t="array" ref="V197:X197">'Technology Factsheet'!J78:L78</f>
        <v>0</v>
      </c>
      <c r="W197" s="183">
        <v>0</v>
      </c>
      <c r="X197" s="183">
        <v>0</v>
      </c>
    </row>
    <row r="198" spans="1:24" x14ac:dyDescent="0.25">
      <c r="V198" s="183" t="str">
        <f>'Technology Factsheet'!M79</f>
        <v>Min</v>
      </c>
    </row>
    <row r="199" spans="1:24" x14ac:dyDescent="0.25">
      <c r="V199" s="183" t="str">
        <f>'Technology Factsheet'!O79</f>
        <v>Max</v>
      </c>
    </row>
    <row r="200" spans="1:24" x14ac:dyDescent="0.25">
      <c r="V200" s="183" cm="1">
        <f t="array" ref="V200:X200">'Technology Factsheet'!M78:O78</f>
        <v>0</v>
      </c>
      <c r="W200" s="183">
        <v>0</v>
      </c>
      <c r="X200" s="183">
        <v>0</v>
      </c>
    </row>
  </sheetData>
  <hyperlinks>
    <hyperlink ref="G5" r:id="rId1" display="https://energy.nl/en/factsheet/geothermal-heat-production-deep-1500/" xr:uid="{F46D6584-697C-4C3F-ADDB-321789A043FE}"/>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Button 1">
              <controlPr defaultSize="0" print="0" autoFill="0" autoPict="0" macro="[1]!PasteValues4ESDL">
                <anchor moveWithCells="1" sizeWithCells="1">
                  <from>
                    <xdr:col>12</xdr:col>
                    <xdr:colOff>133350</xdr:colOff>
                    <xdr:row>0</xdr:row>
                    <xdr:rowOff>76200</xdr:rowOff>
                  </from>
                  <to>
                    <xdr:col>13</xdr:col>
                    <xdr:colOff>571500</xdr:colOff>
                    <xdr:row>1</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83632-7FFD-42AF-9882-02A9AD7C4AFE}">
  <sheetPr>
    <tabColor theme="7" tint="0.59999389629810485"/>
    <pageSetUpPr fitToPage="1"/>
  </sheetPr>
  <dimension ref="A1:BA104"/>
  <sheetViews>
    <sheetView topLeftCell="A13" zoomScale="90" zoomScaleNormal="90" workbookViewId="0">
      <selection activeCell="D28" sqref="D28:K28"/>
    </sheetView>
  </sheetViews>
  <sheetFormatPr defaultColWidth="11" defaultRowHeight="15" x14ac:dyDescent="0.25"/>
  <cols>
    <col min="1" max="1" width="4.5" style="72" customWidth="1"/>
    <col min="2" max="2" width="11" style="72"/>
    <col min="3" max="3" width="27.625" style="72" customWidth="1"/>
    <col min="4" max="5" width="16.75" style="72" customWidth="1"/>
    <col min="6" max="21" width="12.5" style="72" customWidth="1"/>
    <col min="22" max="51" width="11" style="72"/>
    <col min="52" max="52" width="101.375" style="107" hidden="1" customWidth="1"/>
    <col min="53" max="53" width="182" style="107" hidden="1" customWidth="1"/>
    <col min="54" max="16384" width="11" style="72"/>
  </cols>
  <sheetData>
    <row r="1" spans="1:52" ht="21" x14ac:dyDescent="0.35">
      <c r="A1" s="3" t="s">
        <v>294</v>
      </c>
      <c r="B1" s="154"/>
      <c r="C1" s="154"/>
      <c r="D1" s="100"/>
      <c r="E1" s="154"/>
      <c r="F1" s="154"/>
      <c r="G1" s="154"/>
      <c r="H1" s="154"/>
      <c r="I1" s="154"/>
      <c r="J1" s="154"/>
      <c r="K1" s="154"/>
      <c r="L1" s="154"/>
      <c r="M1" s="154"/>
      <c r="N1" s="154"/>
      <c r="O1" s="154"/>
      <c r="P1" s="154"/>
      <c r="Q1" s="154"/>
      <c r="R1" s="154"/>
      <c r="S1" s="154"/>
      <c r="T1" s="154"/>
      <c r="U1" s="154"/>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row>
    <row r="2" spans="1:52" x14ac:dyDescent="0.25">
      <c r="A2" s="100" t="s">
        <v>295</v>
      </c>
      <c r="B2" s="154"/>
      <c r="C2" s="154"/>
      <c r="D2" s="100"/>
      <c r="E2" s="154"/>
      <c r="F2" s="154"/>
      <c r="G2" s="154"/>
      <c r="H2" s="154"/>
      <c r="I2" s="154"/>
      <c r="J2" s="154"/>
      <c r="K2" s="154"/>
      <c r="L2" s="154"/>
      <c r="M2" s="154"/>
      <c r="N2" s="154"/>
      <c r="O2" s="154"/>
      <c r="P2" s="154"/>
      <c r="Q2" s="154"/>
      <c r="R2" s="154"/>
      <c r="S2" s="154"/>
      <c r="T2" s="154"/>
      <c r="U2" s="154"/>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row>
    <row r="3" spans="1:52" x14ac:dyDescent="0.25">
      <c r="A3" s="154"/>
      <c r="B3" s="154"/>
      <c r="C3" s="154"/>
      <c r="D3" s="154"/>
      <c r="E3" s="154"/>
      <c r="F3" s="154"/>
      <c r="G3" s="154"/>
      <c r="H3" s="154"/>
      <c r="I3" s="154"/>
      <c r="J3" s="154"/>
      <c r="K3" s="154"/>
      <c r="L3" s="154"/>
      <c r="M3" s="154"/>
      <c r="N3" s="154"/>
      <c r="O3" s="154"/>
      <c r="P3" s="154"/>
      <c r="Q3" s="154"/>
      <c r="R3" s="154"/>
      <c r="S3" s="154"/>
      <c r="T3" s="154"/>
      <c r="U3" s="154"/>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row>
    <row r="4" spans="1:52" ht="21" customHeight="1" x14ac:dyDescent="0.25">
      <c r="A4" s="154"/>
      <c r="B4" s="256" t="s">
        <v>296</v>
      </c>
      <c r="C4" s="257"/>
      <c r="D4" s="257"/>
      <c r="E4" s="257"/>
      <c r="F4" s="257"/>
      <c r="G4" s="257"/>
      <c r="H4" s="257"/>
      <c r="I4" s="257"/>
      <c r="J4" s="257"/>
      <c r="K4" s="258"/>
      <c r="L4" s="76"/>
      <c r="M4" s="76"/>
      <c r="N4" s="76"/>
      <c r="O4" s="76"/>
      <c r="P4" s="154"/>
      <c r="Q4" s="154"/>
      <c r="R4" s="154"/>
      <c r="S4" s="154"/>
      <c r="T4" s="154"/>
      <c r="U4" s="154"/>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row>
    <row r="5" spans="1:52" ht="15.75" customHeight="1" x14ac:dyDescent="0.25">
      <c r="A5" s="154"/>
      <c r="B5" s="259" t="s">
        <v>297</v>
      </c>
      <c r="C5" s="259"/>
      <c r="D5" s="260" t="s">
        <v>298</v>
      </c>
      <c r="E5" s="261"/>
      <c r="F5" s="261"/>
      <c r="G5" s="261"/>
      <c r="H5" s="261"/>
      <c r="I5" s="261"/>
      <c r="J5" s="261"/>
      <c r="K5" s="262"/>
      <c r="L5" s="77"/>
      <c r="M5" s="77"/>
      <c r="N5" s="77"/>
      <c r="O5" s="77"/>
      <c r="P5" s="154"/>
      <c r="Q5" s="154"/>
      <c r="R5" s="154"/>
      <c r="S5" s="154"/>
      <c r="T5" s="154"/>
      <c r="U5" s="154"/>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row>
    <row r="6" spans="1:52" ht="15.75" customHeight="1" x14ac:dyDescent="0.25">
      <c r="A6" s="154"/>
      <c r="B6" s="259" t="s">
        <v>299</v>
      </c>
      <c r="C6" s="259"/>
      <c r="D6" s="263">
        <v>44403</v>
      </c>
      <c r="E6" s="264"/>
      <c r="F6" s="264"/>
      <c r="G6" s="264"/>
      <c r="H6" s="264"/>
      <c r="I6" s="264"/>
      <c r="J6" s="264"/>
      <c r="K6" s="265"/>
      <c r="L6" s="77"/>
      <c r="M6" s="77"/>
      <c r="N6" s="77"/>
      <c r="O6" s="77"/>
      <c r="P6" s="154"/>
      <c r="Q6" s="154"/>
      <c r="R6" s="154"/>
      <c r="S6" s="154"/>
      <c r="T6" s="154"/>
      <c r="U6" s="154"/>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row>
    <row r="7" spans="1:52" ht="15.75" customHeight="1" x14ac:dyDescent="0.25">
      <c r="A7" s="154"/>
      <c r="B7" s="266" t="s">
        <v>300</v>
      </c>
      <c r="C7" s="267"/>
      <c r="D7" s="260" t="s">
        <v>301</v>
      </c>
      <c r="E7" s="261"/>
      <c r="F7" s="261"/>
      <c r="G7" s="261"/>
      <c r="H7" s="261"/>
      <c r="I7" s="261"/>
      <c r="J7" s="261"/>
      <c r="K7" s="262"/>
      <c r="L7" s="77"/>
      <c r="M7" s="77"/>
      <c r="N7" s="77"/>
      <c r="O7" s="198" t="s">
        <v>462</v>
      </c>
      <c r="P7" s="199"/>
      <c r="Q7" s="199"/>
      <c r="R7" s="154"/>
      <c r="S7" s="154"/>
      <c r="T7" s="154"/>
      <c r="U7" s="154"/>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row>
    <row r="8" spans="1:52" x14ac:dyDescent="0.25">
      <c r="A8" s="154"/>
      <c r="B8" s="277" t="s">
        <v>18</v>
      </c>
      <c r="C8" s="278"/>
      <c r="D8" s="249" t="s">
        <v>170</v>
      </c>
      <c r="E8" s="250"/>
      <c r="F8" s="250"/>
      <c r="G8" s="250"/>
      <c r="H8" s="250"/>
      <c r="I8" s="250"/>
      <c r="J8" s="250"/>
      <c r="K8" s="251"/>
      <c r="L8" s="74"/>
      <c r="M8" s="74"/>
      <c r="N8" s="74"/>
      <c r="O8" s="248" t="s">
        <v>463</v>
      </c>
      <c r="P8" s="248"/>
      <c r="Q8" s="248"/>
      <c r="R8" s="154"/>
      <c r="S8" s="154"/>
      <c r="T8" s="154"/>
      <c r="U8" s="154"/>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row>
    <row r="9" spans="1:52" ht="15.75" customHeight="1" x14ac:dyDescent="0.25">
      <c r="A9" s="154"/>
      <c r="B9" s="279"/>
      <c r="C9" s="280"/>
      <c r="D9" s="249" t="s">
        <v>302</v>
      </c>
      <c r="E9" s="250"/>
      <c r="F9" s="250"/>
      <c r="G9" s="250"/>
      <c r="H9" s="250"/>
      <c r="I9" s="250"/>
      <c r="J9" s="250"/>
      <c r="K9" s="251"/>
      <c r="L9" s="74"/>
      <c r="M9" s="74"/>
      <c r="N9" s="74"/>
      <c r="O9" s="248"/>
      <c r="P9" s="248"/>
      <c r="Q9" s="248"/>
      <c r="R9" s="154"/>
      <c r="S9" s="154"/>
      <c r="T9" s="154"/>
      <c r="U9" s="154"/>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row>
    <row r="10" spans="1:52" ht="15.75" customHeight="1" x14ac:dyDescent="0.25">
      <c r="A10" s="154"/>
      <c r="B10" s="252" t="s">
        <v>22</v>
      </c>
      <c r="C10" s="252"/>
      <c r="D10" s="253" t="s">
        <v>176</v>
      </c>
      <c r="E10" s="254"/>
      <c r="F10" s="254"/>
      <c r="G10" s="254"/>
      <c r="H10" s="254"/>
      <c r="I10" s="254"/>
      <c r="J10" s="254"/>
      <c r="K10" s="255"/>
      <c r="L10" s="75"/>
      <c r="M10" s="75"/>
      <c r="N10" s="75"/>
      <c r="O10" s="248"/>
      <c r="P10" s="248"/>
      <c r="Q10" s="248"/>
      <c r="R10" s="154"/>
      <c r="S10" s="154"/>
      <c r="T10" s="154"/>
      <c r="U10" s="154"/>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row>
    <row r="11" spans="1:52" ht="15.75" customHeight="1" x14ac:dyDescent="0.25">
      <c r="A11" s="154"/>
      <c r="B11" s="252" t="s">
        <v>24</v>
      </c>
      <c r="C11" s="252"/>
      <c r="D11" s="253" t="s">
        <v>198</v>
      </c>
      <c r="E11" s="254"/>
      <c r="F11" s="254"/>
      <c r="G11" s="254"/>
      <c r="H11" s="254"/>
      <c r="I11" s="254"/>
      <c r="J11" s="254"/>
      <c r="K11" s="255"/>
      <c r="L11" s="77"/>
      <c r="M11" s="77"/>
      <c r="N11" s="77"/>
      <c r="O11" s="200" t="s">
        <v>464</v>
      </c>
      <c r="P11" s="201"/>
      <c r="Q11" s="201"/>
      <c r="R11" s="154"/>
      <c r="S11" s="154"/>
      <c r="T11" s="154"/>
      <c r="U11" s="154"/>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row>
    <row r="12" spans="1:52" ht="255" customHeight="1" x14ac:dyDescent="0.25">
      <c r="A12" s="154"/>
      <c r="B12" s="268" t="s">
        <v>27</v>
      </c>
      <c r="C12" s="268"/>
      <c r="D12" s="269" t="s">
        <v>403</v>
      </c>
      <c r="E12" s="270"/>
      <c r="F12" s="270"/>
      <c r="G12" s="270"/>
      <c r="H12" s="270"/>
      <c r="I12" s="270"/>
      <c r="J12" s="270"/>
      <c r="K12" s="271"/>
      <c r="L12" s="74"/>
      <c r="M12" s="74"/>
      <c r="N12" s="74"/>
      <c r="O12" s="202" t="s">
        <v>465</v>
      </c>
      <c r="P12" s="201"/>
      <c r="Q12" s="201"/>
      <c r="R12" s="154"/>
      <c r="S12" s="154"/>
      <c r="T12" s="154"/>
      <c r="U12" s="154"/>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08" t="str">
        <f>D12</f>
        <v>This technology represents the application of heat production from geothermal formations in The Netherlands. A typical project consists of two wells, a production and an injection well, also called doublet. The wells are either fully vertically drilled or vertical with a curvature deep below. The bottom of the wells is situated in a water holding layer of  sand- or limestone, and lies between 1500 and 4000 meters below ground level. Salty hot water (brine) is pumped up through the production well, cooled in a heat exchanger and injected back underground through the injection well. In principle there is no loss of brine water, but some degassing may be needed as natural gas may be dissolved in the brine and needs to be separated. An alternative is to maintain sufficient pressure so that no natural gas escapes and is injected back underground. The warm water production temperature varies typically between 70 and 90⁰C (max 100⁰C) depending on the depth and the type of layer. For the Netherlands, a temperature gradient of around 30⁰C per kilometer is valid. The injection temperature lies between 35⁰C or lower. Lowering the injection temperature can increase the heat output of the system. Production volumes can be several hundreds m3 per hour, depending on the heat demand and the well characteristics. The installation consists of two bore holes usually in steel with liners, a production pump (Electric Submersible Pump, ESP), an above ground heat exchanger and an injection pump. An oil and/or gas separator is optional. In some cases, anti-scaling prohibitors may be required. Safety measures like a blow-out prevenator and double tubing to avoid and control gas leakage have recently become mandatory in the Netherlands. To date all existing geothermal projects are situated in the horticultural sector, although some proposals exist for projects in the built environment. A heat network or a heat distribution network may be required, but is not part of this factsheet. 
Legend: 1) above ground installation ; 2) production and injection wells; 3) brine extraction and injection.</v>
      </c>
    </row>
    <row r="13" spans="1:52" ht="15.75" customHeight="1" x14ac:dyDescent="0.25">
      <c r="A13" s="154"/>
      <c r="B13" s="272" t="s">
        <v>303</v>
      </c>
      <c r="C13" s="272"/>
      <c r="D13" s="273" t="s">
        <v>34</v>
      </c>
      <c r="E13" s="264"/>
      <c r="F13" s="264"/>
      <c r="G13" s="264"/>
      <c r="H13" s="264"/>
      <c r="I13" s="264"/>
      <c r="J13" s="264"/>
      <c r="K13" s="265"/>
      <c r="L13" s="77"/>
      <c r="M13" s="77"/>
      <c r="N13" s="77"/>
      <c r="O13" s="77"/>
      <c r="P13" s="154"/>
      <c r="Q13" s="154"/>
      <c r="R13" s="154"/>
      <c r="S13" s="154"/>
      <c r="T13" s="154"/>
      <c r="U13" s="154"/>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row>
    <row r="14" spans="1:52" ht="185.25" customHeight="1" x14ac:dyDescent="0.25">
      <c r="A14" s="154"/>
      <c r="B14" s="272"/>
      <c r="C14" s="272"/>
      <c r="D14" s="274" t="s">
        <v>304</v>
      </c>
      <c r="E14" s="275"/>
      <c r="F14" s="275"/>
      <c r="G14" s="275"/>
      <c r="H14" s="275"/>
      <c r="I14" s="275"/>
      <c r="J14" s="275"/>
      <c r="K14" s="276"/>
      <c r="L14" s="74"/>
      <c r="M14" s="74"/>
      <c r="N14" s="74"/>
      <c r="O14" s="74"/>
      <c r="P14" s="154"/>
      <c r="Q14" s="154"/>
      <c r="R14" s="154"/>
      <c r="S14" s="154"/>
      <c r="T14" s="154"/>
      <c r="U14" s="154"/>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08" t="str">
        <f>D14</f>
        <v>Only a limited amount of  geothermal heat production installations exist in the Netherlands in 2020, of which all are situated in the horticultural sector. About 50 more have applied for SDE subsidy (up to 2020). Although geothermal for heat generation is a fairly young application, much of the knowledge needed on the underground and on drilling exists from the vast amount of experience from oil and gas wells in the Netherlands. Most of the techniques applied (drilling, oil/gas separation, heat exchangers) are mature and commercially available. There is still room for improvement in the use of advanced materials, smarter drilling campaigns and projects' experience, hence a TRL level 8 is chosen.
Staatstoezicht op de Mijnen (SoDM) controls the safe working of the projects and the Dutch association of geothermal operators (DAGO) is developing a number of guidelines to professionalise installations and operators. TNO's geology unit approves the project data (expected heat output and volumes) in order to be eligible for subsidy (SDE++). They also monitor and publish production on a monthly basis (nlog.nl).</v>
      </c>
    </row>
    <row r="15" spans="1:52" ht="21" customHeight="1" x14ac:dyDescent="0.25">
      <c r="A15" s="154"/>
      <c r="B15" s="256" t="s">
        <v>50</v>
      </c>
      <c r="C15" s="257"/>
      <c r="D15" s="257"/>
      <c r="E15" s="257"/>
      <c r="F15" s="257"/>
      <c r="G15" s="257"/>
      <c r="H15" s="257"/>
      <c r="I15" s="257"/>
      <c r="J15" s="257"/>
      <c r="K15" s="258"/>
      <c r="L15" s="76"/>
      <c r="M15" s="76"/>
      <c r="N15" s="76"/>
      <c r="O15" s="76"/>
      <c r="P15" s="154"/>
      <c r="Q15" s="154"/>
      <c r="R15" s="154"/>
      <c r="S15" s="154"/>
      <c r="T15" s="154"/>
      <c r="U15" s="154"/>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row>
    <row r="16" spans="1:52" ht="15" customHeight="1" x14ac:dyDescent="0.25">
      <c r="A16" s="154"/>
      <c r="B16" s="296" t="s">
        <v>51</v>
      </c>
      <c r="C16" s="296"/>
      <c r="D16" s="297" t="s">
        <v>179</v>
      </c>
      <c r="E16" s="298"/>
      <c r="F16" s="298"/>
      <c r="G16" s="298"/>
      <c r="H16" s="298"/>
      <c r="I16" s="298"/>
      <c r="J16" s="298"/>
      <c r="K16" s="299"/>
      <c r="L16" s="76"/>
      <c r="M16" s="76"/>
      <c r="N16" s="76"/>
      <c r="O16" s="76"/>
      <c r="P16" s="154"/>
      <c r="Q16" s="154"/>
      <c r="R16" s="154"/>
      <c r="S16" s="154"/>
      <c r="T16" s="154"/>
      <c r="U16" s="154"/>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row>
    <row r="17" spans="1:51" ht="15" customHeight="1" x14ac:dyDescent="0.25">
      <c r="A17" s="154"/>
      <c r="B17" s="296"/>
      <c r="C17" s="296"/>
      <c r="D17" s="300"/>
      <c r="E17" s="301"/>
      <c r="F17" s="301"/>
      <c r="G17" s="301"/>
      <c r="H17" s="301"/>
      <c r="I17" s="301"/>
      <c r="J17" s="301"/>
      <c r="K17" s="302"/>
      <c r="L17" s="76"/>
      <c r="M17" s="76"/>
      <c r="N17" s="76"/>
      <c r="O17" s="76"/>
      <c r="P17" s="154"/>
      <c r="Q17" s="154"/>
      <c r="R17" s="154"/>
      <c r="S17" s="154"/>
      <c r="T17" s="154"/>
      <c r="U17" s="154"/>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row>
    <row r="18" spans="1:51" x14ac:dyDescent="0.25">
      <c r="A18" s="154"/>
      <c r="B18" s="303"/>
      <c r="C18" s="303"/>
      <c r="D18" s="304" t="s">
        <v>305</v>
      </c>
      <c r="E18" s="304"/>
      <c r="F18" s="304"/>
      <c r="G18" s="204" t="s">
        <v>306</v>
      </c>
      <c r="H18" s="204" t="s">
        <v>307</v>
      </c>
      <c r="I18" s="204" t="s">
        <v>308</v>
      </c>
      <c r="J18" s="204" t="s">
        <v>309</v>
      </c>
      <c r="K18" s="204" t="s">
        <v>310</v>
      </c>
      <c r="L18" s="78"/>
      <c r="M18" s="78"/>
      <c r="N18" s="78"/>
      <c r="O18" s="78"/>
      <c r="P18" s="154"/>
      <c r="Q18" s="154"/>
      <c r="R18" s="154"/>
      <c r="S18" s="154"/>
      <c r="T18" s="154"/>
      <c r="U18" s="154"/>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row>
    <row r="19" spans="1:51" ht="15.75" customHeight="1" x14ac:dyDescent="0.25">
      <c r="A19" s="154"/>
      <c r="B19" s="296" t="s">
        <v>55</v>
      </c>
      <c r="C19" s="296"/>
      <c r="D19" s="305" t="str">
        <f>IF(D16="Please select","Select Functional Unit above",D16)</f>
        <v>MWth</v>
      </c>
      <c r="E19" s="305"/>
      <c r="F19" s="305"/>
      <c r="G19" s="94">
        <v>15</v>
      </c>
      <c r="H19" s="93"/>
      <c r="I19" s="93"/>
      <c r="J19" s="93"/>
      <c r="K19" s="93"/>
      <c r="L19" s="79"/>
      <c r="M19" s="79"/>
      <c r="N19" s="79"/>
      <c r="O19" s="79"/>
      <c r="P19" s="154"/>
      <c r="Q19" s="154"/>
      <c r="R19" s="154"/>
      <c r="S19" s="154"/>
      <c r="T19" s="154"/>
      <c r="U19" s="154"/>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row>
    <row r="20" spans="1:51" ht="15.75" customHeight="1" x14ac:dyDescent="0.25">
      <c r="A20" s="154"/>
      <c r="B20" s="296"/>
      <c r="C20" s="296"/>
      <c r="D20" s="305"/>
      <c r="E20" s="305"/>
      <c r="F20" s="305"/>
      <c r="G20" s="104" t="s">
        <v>311</v>
      </c>
      <c r="H20" s="104" t="s">
        <v>312</v>
      </c>
      <c r="I20" s="104" t="s">
        <v>312</v>
      </c>
      <c r="J20" s="104" t="s">
        <v>312</v>
      </c>
      <c r="K20" s="104" t="s">
        <v>312</v>
      </c>
      <c r="L20" s="79"/>
      <c r="M20" s="79"/>
      <c r="N20" s="79"/>
      <c r="O20" s="79"/>
      <c r="P20" s="154"/>
      <c r="Q20" s="154"/>
      <c r="R20" s="154"/>
      <c r="S20" s="154"/>
      <c r="T20" s="154"/>
      <c r="U20" s="154"/>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row>
    <row r="21" spans="1:51" ht="15.75" customHeight="1" x14ac:dyDescent="0.25">
      <c r="A21" s="154"/>
      <c r="B21" s="303"/>
      <c r="C21" s="303"/>
      <c r="D21" s="312" t="s">
        <v>313</v>
      </c>
      <c r="E21" s="313"/>
      <c r="F21" s="205" t="s">
        <v>314</v>
      </c>
      <c r="G21" s="282" t="s">
        <v>315</v>
      </c>
      <c r="H21" s="282"/>
      <c r="I21" s="282"/>
      <c r="J21" s="282"/>
      <c r="K21" s="282"/>
      <c r="L21" s="281">
        <v>2030</v>
      </c>
      <c r="M21" s="281"/>
      <c r="N21" s="281"/>
      <c r="O21" s="281"/>
      <c r="P21" s="281"/>
      <c r="Q21" s="282">
        <v>2050</v>
      </c>
      <c r="R21" s="282"/>
      <c r="S21" s="282"/>
      <c r="T21" s="282"/>
      <c r="U21" s="282"/>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row>
    <row r="22" spans="1:51" ht="15.75" customHeight="1" x14ac:dyDescent="0.25">
      <c r="A22" s="154"/>
      <c r="B22" s="283" t="s">
        <v>60</v>
      </c>
      <c r="C22" s="284"/>
      <c r="D22" s="289" t="s">
        <v>217</v>
      </c>
      <c r="E22" s="290"/>
      <c r="F22" s="293" t="s">
        <v>179</v>
      </c>
      <c r="G22" s="204" t="s">
        <v>306</v>
      </c>
      <c r="H22" s="204" t="s">
        <v>307</v>
      </c>
      <c r="I22" s="204" t="s">
        <v>308</v>
      </c>
      <c r="J22" s="204" t="s">
        <v>309</v>
      </c>
      <c r="K22" s="204" t="s">
        <v>310</v>
      </c>
      <c r="L22" s="203" t="s">
        <v>306</v>
      </c>
      <c r="M22" s="203" t="s">
        <v>307</v>
      </c>
      <c r="N22" s="203" t="s">
        <v>308</v>
      </c>
      <c r="O22" s="203" t="s">
        <v>309</v>
      </c>
      <c r="P22" s="203" t="s">
        <v>310</v>
      </c>
      <c r="Q22" s="204" t="s">
        <v>306</v>
      </c>
      <c r="R22" s="204" t="s">
        <v>307</v>
      </c>
      <c r="S22" s="204" t="s">
        <v>308</v>
      </c>
      <c r="T22" s="204" t="s">
        <v>309</v>
      </c>
      <c r="U22" s="204" t="s">
        <v>310</v>
      </c>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row>
    <row r="23" spans="1:51" ht="15" customHeight="1" x14ac:dyDescent="0.25">
      <c r="A23" s="154"/>
      <c r="B23" s="285"/>
      <c r="C23" s="286"/>
      <c r="D23" s="291"/>
      <c r="E23" s="292"/>
      <c r="F23" s="294"/>
      <c r="G23" s="94"/>
      <c r="H23" s="93"/>
      <c r="I23" s="93"/>
      <c r="J23" s="93"/>
      <c r="K23" s="93"/>
      <c r="L23" s="170">
        <f>50/3.6*1000000/6000</f>
        <v>2314.8148148148148</v>
      </c>
      <c r="M23" s="103"/>
      <c r="N23" s="103"/>
      <c r="O23" s="103"/>
      <c r="P23" s="103"/>
      <c r="Q23" s="170">
        <f>200/3.6*1000000/6000</f>
        <v>9259.2592592592591</v>
      </c>
      <c r="R23" s="103"/>
      <c r="S23" s="103"/>
      <c r="T23" s="103"/>
      <c r="U23" s="103"/>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row>
    <row r="24" spans="1:51" x14ac:dyDescent="0.25">
      <c r="A24" s="154"/>
      <c r="B24" s="287"/>
      <c r="C24" s="288"/>
      <c r="D24" s="291"/>
      <c r="E24" s="292"/>
      <c r="F24" s="295"/>
      <c r="G24" s="104" t="s">
        <v>312</v>
      </c>
      <c r="H24" s="104" t="s">
        <v>312</v>
      </c>
      <c r="I24" s="104" t="s">
        <v>312</v>
      </c>
      <c r="J24" s="104" t="s">
        <v>312</v>
      </c>
      <c r="K24" s="104" t="s">
        <v>312</v>
      </c>
      <c r="L24" s="104" t="s">
        <v>316</v>
      </c>
      <c r="M24" s="104" t="s">
        <v>312</v>
      </c>
      <c r="N24" s="104" t="s">
        <v>312</v>
      </c>
      <c r="O24" s="104" t="s">
        <v>312</v>
      </c>
      <c r="P24" s="104" t="s">
        <v>312</v>
      </c>
      <c r="Q24" s="104" t="s">
        <v>316</v>
      </c>
      <c r="R24" s="104" t="s">
        <v>312</v>
      </c>
      <c r="S24" s="104" t="s">
        <v>312</v>
      </c>
      <c r="T24" s="104" t="s">
        <v>312</v>
      </c>
      <c r="U24" s="104" t="s">
        <v>312</v>
      </c>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row>
    <row r="25" spans="1:51" ht="15.75" customHeight="1" x14ac:dyDescent="0.25">
      <c r="A25" s="154"/>
      <c r="B25" s="296" t="s">
        <v>317</v>
      </c>
      <c r="C25" s="296"/>
      <c r="D25" s="297" t="s">
        <v>318</v>
      </c>
      <c r="E25" s="299"/>
      <c r="F25" s="306" t="s">
        <v>319</v>
      </c>
      <c r="G25" s="94"/>
      <c r="H25" s="93"/>
      <c r="I25" s="93"/>
      <c r="J25" s="93"/>
      <c r="K25" s="93"/>
      <c r="L25" s="92">
        <v>5</v>
      </c>
      <c r="M25" s="103"/>
      <c r="N25" s="103"/>
      <c r="O25" s="103"/>
      <c r="P25" s="103"/>
      <c r="Q25" s="92">
        <v>22</v>
      </c>
      <c r="R25" s="103"/>
      <c r="S25" s="103"/>
      <c r="T25" s="103"/>
      <c r="U25" s="103"/>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row>
    <row r="26" spans="1:51" ht="15.75" customHeight="1" x14ac:dyDescent="0.25">
      <c r="A26" s="154"/>
      <c r="B26" s="296"/>
      <c r="C26" s="296"/>
      <c r="D26" s="300"/>
      <c r="E26" s="302"/>
      <c r="F26" s="307"/>
      <c r="G26" s="104" t="s">
        <v>312</v>
      </c>
      <c r="H26" s="104" t="s">
        <v>312</v>
      </c>
      <c r="I26" s="104" t="s">
        <v>312</v>
      </c>
      <c r="J26" s="104" t="s">
        <v>312</v>
      </c>
      <c r="K26" s="104" t="s">
        <v>312</v>
      </c>
      <c r="L26" s="104" t="s">
        <v>316</v>
      </c>
      <c r="M26" s="104" t="s">
        <v>312</v>
      </c>
      <c r="N26" s="104" t="s">
        <v>312</v>
      </c>
      <c r="O26" s="104" t="s">
        <v>312</v>
      </c>
      <c r="P26" s="104" t="s">
        <v>312</v>
      </c>
      <c r="Q26" s="104" t="s">
        <v>316</v>
      </c>
      <c r="R26" s="104" t="s">
        <v>312</v>
      </c>
      <c r="S26" s="104" t="s">
        <v>312</v>
      </c>
      <c r="T26" s="104" t="s">
        <v>312</v>
      </c>
      <c r="U26" s="104" t="s">
        <v>312</v>
      </c>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row>
    <row r="27" spans="1:51" x14ac:dyDescent="0.25">
      <c r="A27" s="154"/>
      <c r="B27" s="308" t="s">
        <v>67</v>
      </c>
      <c r="C27" s="308"/>
      <c r="D27" s="309">
        <v>1</v>
      </c>
      <c r="E27" s="310"/>
      <c r="F27" s="310"/>
      <c r="G27" s="310"/>
      <c r="H27" s="310"/>
      <c r="I27" s="310"/>
      <c r="J27" s="310"/>
      <c r="K27" s="311"/>
      <c r="L27" s="81"/>
      <c r="M27" s="81"/>
      <c r="N27" s="81"/>
      <c r="O27" s="81"/>
      <c r="P27" s="154"/>
      <c r="Q27" s="154"/>
      <c r="R27" s="154"/>
      <c r="S27" s="154"/>
      <c r="T27" s="154"/>
      <c r="U27" s="154"/>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row>
    <row r="28" spans="1:51" x14ac:dyDescent="0.25">
      <c r="A28" s="154"/>
      <c r="B28" s="308" t="s">
        <v>70</v>
      </c>
      <c r="C28" s="308"/>
      <c r="D28" s="309">
        <v>6000</v>
      </c>
      <c r="E28" s="310"/>
      <c r="F28" s="310"/>
      <c r="G28" s="310"/>
      <c r="H28" s="310"/>
      <c r="I28" s="310"/>
      <c r="J28" s="310"/>
      <c r="K28" s="311"/>
      <c r="L28" s="81"/>
      <c r="M28" s="81"/>
      <c r="N28" s="81"/>
      <c r="O28" s="81"/>
      <c r="P28" s="154"/>
      <c r="Q28" s="154"/>
      <c r="R28" s="154"/>
      <c r="S28" s="154"/>
      <c r="T28" s="154"/>
      <c r="U28" s="154"/>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row>
    <row r="29" spans="1:51" x14ac:dyDescent="0.25">
      <c r="A29" s="154"/>
      <c r="B29" s="308" t="s">
        <v>72</v>
      </c>
      <c r="C29" s="308"/>
      <c r="D29" s="260" t="s">
        <v>180</v>
      </c>
      <c r="E29" s="261"/>
      <c r="F29" s="261"/>
      <c r="G29" s="261"/>
      <c r="H29" s="261"/>
      <c r="I29" s="261"/>
      <c r="J29" s="261"/>
      <c r="K29" s="262"/>
      <c r="L29" s="81"/>
      <c r="M29" s="81"/>
      <c r="N29" s="81"/>
      <c r="O29" s="81"/>
      <c r="P29" s="154"/>
      <c r="Q29" s="154"/>
      <c r="R29" s="154"/>
      <c r="S29" s="154"/>
      <c r="T29" s="154"/>
      <c r="U29" s="154"/>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row>
    <row r="30" spans="1:51" ht="15.75" customHeight="1" x14ac:dyDescent="0.25">
      <c r="A30" s="154"/>
      <c r="B30" s="308" t="s">
        <v>75</v>
      </c>
      <c r="C30" s="308"/>
      <c r="D30" s="309" t="s">
        <v>320</v>
      </c>
      <c r="E30" s="310"/>
      <c r="F30" s="310"/>
      <c r="G30" s="310"/>
      <c r="H30" s="310"/>
      <c r="I30" s="310"/>
      <c r="J30" s="310"/>
      <c r="K30" s="311"/>
      <c r="L30" s="80"/>
      <c r="M30" s="80"/>
      <c r="N30" s="80"/>
      <c r="O30" s="80"/>
      <c r="P30" s="154"/>
      <c r="Q30" s="154"/>
      <c r="R30" s="154"/>
      <c r="S30" s="154"/>
      <c r="T30" s="154"/>
      <c r="U30" s="154"/>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row>
    <row r="31" spans="1:51" x14ac:dyDescent="0.25">
      <c r="A31" s="154"/>
      <c r="B31" s="308" t="s">
        <v>80</v>
      </c>
      <c r="C31" s="308"/>
      <c r="D31" s="309">
        <v>30</v>
      </c>
      <c r="E31" s="310"/>
      <c r="F31" s="310"/>
      <c r="G31" s="310"/>
      <c r="H31" s="310"/>
      <c r="I31" s="310"/>
      <c r="J31" s="310"/>
      <c r="K31" s="311"/>
      <c r="L31" s="81"/>
      <c r="M31" s="81"/>
      <c r="N31" s="81"/>
      <c r="O31" s="81"/>
      <c r="P31" s="154"/>
      <c r="Q31" s="154"/>
      <c r="R31" s="154"/>
      <c r="S31" s="154"/>
      <c r="T31" s="154"/>
      <c r="U31" s="154"/>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row>
    <row r="32" spans="1:51" x14ac:dyDescent="0.25">
      <c r="A32" s="154"/>
      <c r="B32" s="308" t="s">
        <v>82</v>
      </c>
      <c r="C32" s="308"/>
      <c r="D32" s="309" t="s">
        <v>321</v>
      </c>
      <c r="E32" s="310"/>
      <c r="F32" s="310"/>
      <c r="G32" s="310"/>
      <c r="H32" s="310"/>
      <c r="I32" s="310"/>
      <c r="J32" s="310"/>
      <c r="K32" s="311"/>
      <c r="L32" s="81"/>
      <c r="M32" s="81"/>
      <c r="N32" s="81"/>
      <c r="O32" s="81"/>
      <c r="P32" s="154"/>
      <c r="Q32" s="154"/>
      <c r="R32" s="154"/>
      <c r="S32" s="154"/>
      <c r="T32" s="154"/>
      <c r="U32" s="154"/>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row>
    <row r="33" spans="1:53" x14ac:dyDescent="0.25">
      <c r="A33" s="154"/>
      <c r="B33" s="308" t="s">
        <v>83</v>
      </c>
      <c r="C33" s="308"/>
      <c r="D33" s="260" t="s">
        <v>196</v>
      </c>
      <c r="E33" s="261"/>
      <c r="F33" s="261"/>
      <c r="G33" s="261"/>
      <c r="H33" s="261"/>
      <c r="I33" s="261"/>
      <c r="J33" s="261"/>
      <c r="K33" s="262"/>
      <c r="L33" s="81"/>
      <c r="M33" s="81"/>
      <c r="N33" s="81"/>
      <c r="O33" s="81"/>
      <c r="P33" s="154"/>
      <c r="Q33" s="154"/>
      <c r="R33" s="154"/>
      <c r="S33" s="154"/>
      <c r="T33" s="154"/>
      <c r="U33" s="154"/>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row>
    <row r="34" spans="1:53" ht="289.89999999999998" customHeight="1" x14ac:dyDescent="0.25">
      <c r="A34" s="154"/>
      <c r="B34" s="296" t="s">
        <v>322</v>
      </c>
      <c r="C34" s="296"/>
      <c r="D34" s="314" t="s">
        <v>407</v>
      </c>
      <c r="E34" s="315"/>
      <c r="F34" s="315"/>
      <c r="G34" s="315"/>
      <c r="H34" s="315"/>
      <c r="I34" s="315"/>
      <c r="J34" s="315"/>
      <c r="K34" s="316"/>
      <c r="L34" s="74"/>
      <c r="M34" s="74"/>
      <c r="N34" s="74"/>
      <c r="O34" s="74"/>
      <c r="P34" s="154"/>
      <c r="Q34" s="154"/>
      <c r="R34" s="154"/>
      <c r="S34" s="154"/>
      <c r="T34" s="154"/>
      <c r="U34" s="154"/>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08" t="str">
        <f>D34</f>
        <v>The current size of a typical geothermal project is 15 MWth, based on an application in horticulture, with a range between 7 and 30 MWth (SDE++ data up to spring 2020 including existing projects and applications). This size does already include a capacity factor based on existing projects, being the ratio of actual heat power (production) compared  to the expected power output as estimated in the SDE+ subsidy application (pre-drill). An annual full load production time of 6000 hours is assumed for geothermal applications in the horticultural sector, considered baseload. However actual production time varies between 4000 and  8000 hours. In the built environment, full load hours depend on the size of the heat network: in large networks, 6000 hours are possible, in smaller or new networks, 3500 hours is the default.  Much of the amount of full load hours depends on the heat demand profile, quite often this is in U-shape (like a bath tub): higher demand levels in winter compared to intermediate and summer seasons. Geothermal projects in the horticultural sector are designed to run as much as possible as baseload, so with high full load hours. Other sectors, like industry or other applications , could also apply this technology. 
Lifetime is expected to be up to 30 years, but so far no project has been running more than a few years. Technical or seismic problems have caused some projects to be shut down after a few years. Legislation requires that wells have to be closed up in such a way that gas leakage at the end of their life time is prevented.
The sector estimates that geothermal heat could supply 50 PJ in 2030 and 200 PJ in 2050 (13,9 to 55,6 million MWh), or 5% and 22% of the heat demand below 100oC (SPG 2018).  Currently (2020) about 6,2 PJ  (1,7 million MWh) of heat is delivered by deep geothermal wells (CBS), but so far only to the horticultural sector as main user. Some geothermal projects in horticulture provide excess heat to the built environment nearby.</v>
      </c>
    </row>
    <row r="35" spans="1:53" ht="21" customHeight="1" x14ac:dyDescent="0.25">
      <c r="A35" s="154"/>
      <c r="B35" s="322" t="s">
        <v>323</v>
      </c>
      <c r="C35" s="322"/>
      <c r="D35" s="322"/>
      <c r="E35" s="322"/>
      <c r="F35" s="322"/>
      <c r="G35" s="322"/>
      <c r="H35" s="322"/>
      <c r="I35" s="322"/>
      <c r="J35" s="322"/>
      <c r="K35" s="322"/>
      <c r="L35" s="322"/>
      <c r="M35" s="322"/>
      <c r="N35" s="322"/>
      <c r="O35" s="322"/>
      <c r="P35" s="322"/>
      <c r="Q35" s="322"/>
      <c r="R35" s="322"/>
      <c r="S35" s="322"/>
      <c r="T35" s="322"/>
      <c r="U35" s="322"/>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row>
    <row r="36" spans="1:53" ht="15.75" customHeight="1" x14ac:dyDescent="0.25">
      <c r="A36" s="154"/>
      <c r="B36" s="323" t="s">
        <v>324</v>
      </c>
      <c r="C36" s="323"/>
      <c r="D36" s="323"/>
      <c r="E36" s="323"/>
      <c r="F36" s="323"/>
      <c r="G36" s="282" t="s">
        <v>315</v>
      </c>
      <c r="H36" s="282"/>
      <c r="I36" s="282"/>
      <c r="J36" s="282"/>
      <c r="K36" s="282"/>
      <c r="L36" s="281">
        <v>2030</v>
      </c>
      <c r="M36" s="281"/>
      <c r="N36" s="281"/>
      <c r="O36" s="281"/>
      <c r="P36" s="281"/>
      <c r="Q36" s="282">
        <v>2050</v>
      </c>
      <c r="R36" s="282"/>
      <c r="S36" s="282"/>
      <c r="T36" s="282"/>
      <c r="U36" s="282"/>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row>
    <row r="37" spans="1:53" ht="15.75" customHeight="1" x14ac:dyDescent="0.25">
      <c r="A37" s="154"/>
      <c r="B37" s="323"/>
      <c r="C37" s="323"/>
      <c r="D37" s="324"/>
      <c r="E37" s="324"/>
      <c r="F37" s="324"/>
      <c r="G37" s="204" t="s">
        <v>306</v>
      </c>
      <c r="H37" s="204" t="s">
        <v>307</v>
      </c>
      <c r="I37" s="204" t="s">
        <v>308</v>
      </c>
      <c r="J37" s="204" t="s">
        <v>309</v>
      </c>
      <c r="K37" s="204" t="s">
        <v>310</v>
      </c>
      <c r="L37" s="203" t="s">
        <v>306</v>
      </c>
      <c r="M37" s="203" t="s">
        <v>307</v>
      </c>
      <c r="N37" s="203" t="s">
        <v>308</v>
      </c>
      <c r="O37" s="203" t="s">
        <v>309</v>
      </c>
      <c r="P37" s="203" t="s">
        <v>310</v>
      </c>
      <c r="Q37" s="204" t="s">
        <v>306</v>
      </c>
      <c r="R37" s="204" t="s">
        <v>307</v>
      </c>
      <c r="S37" s="204" t="s">
        <v>308</v>
      </c>
      <c r="T37" s="204" t="s">
        <v>309</v>
      </c>
      <c r="U37" s="204" t="s">
        <v>310</v>
      </c>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row>
    <row r="38" spans="1:53" ht="15.75" customHeight="1" x14ac:dyDescent="0.25">
      <c r="A38" s="154"/>
      <c r="B38" s="272" t="s">
        <v>88</v>
      </c>
      <c r="C38" s="325"/>
      <c r="D38" s="317" t="s">
        <v>232</v>
      </c>
      <c r="E38" s="319" t="str">
        <f>IF(D16="Please select","Please select 'Functional Unit' above",D16)</f>
        <v>MWth</v>
      </c>
      <c r="F38" s="320"/>
      <c r="G38" s="94">
        <f>1.352/1.02</f>
        <v>1.3254901960784315</v>
      </c>
      <c r="H38" s="103">
        <f>1.041</f>
        <v>1.0409999999999999</v>
      </c>
      <c r="I38" s="103">
        <f>1.614</f>
        <v>1.6140000000000001</v>
      </c>
      <c r="J38" s="103"/>
      <c r="K38" s="103"/>
      <c r="L38" s="94"/>
      <c r="M38" s="103"/>
      <c r="N38" s="103"/>
      <c r="O38" s="103"/>
      <c r="P38" s="103"/>
      <c r="Q38" s="94"/>
      <c r="R38" s="103"/>
      <c r="S38" s="103"/>
      <c r="T38" s="103"/>
      <c r="U38" s="103"/>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row>
    <row r="39" spans="1:53" x14ac:dyDescent="0.25">
      <c r="A39" s="154"/>
      <c r="B39" s="272"/>
      <c r="C39" s="325"/>
      <c r="D39" s="318"/>
      <c r="E39" s="321"/>
      <c r="F39" s="220"/>
      <c r="G39" s="105" t="s">
        <v>325</v>
      </c>
      <c r="H39" s="105" t="s">
        <v>325</v>
      </c>
      <c r="I39" s="105" t="s">
        <v>325</v>
      </c>
      <c r="J39" s="104" t="s">
        <v>312</v>
      </c>
      <c r="K39" s="104" t="s">
        <v>312</v>
      </c>
      <c r="L39" s="104" t="s">
        <v>312</v>
      </c>
      <c r="M39" s="104" t="s">
        <v>312</v>
      </c>
      <c r="N39" s="104" t="s">
        <v>312</v>
      </c>
      <c r="O39" s="104" t="s">
        <v>312</v>
      </c>
      <c r="P39" s="104" t="s">
        <v>312</v>
      </c>
      <c r="Q39" s="104" t="s">
        <v>312</v>
      </c>
      <c r="R39" s="104" t="s">
        <v>312</v>
      </c>
      <c r="S39" s="104" t="s">
        <v>312</v>
      </c>
      <c r="T39" s="104" t="s">
        <v>312</v>
      </c>
      <c r="U39" s="104" t="s">
        <v>312</v>
      </c>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row>
    <row r="40" spans="1:53" ht="15" customHeight="1" x14ac:dyDescent="0.25">
      <c r="A40" s="154"/>
      <c r="B40" s="272" t="s">
        <v>326</v>
      </c>
      <c r="C40" s="272"/>
      <c r="D40" s="317" t="s">
        <v>232</v>
      </c>
      <c r="E40" s="319" t="str">
        <f>IF(D16="Please select","Please select 'Functional Unit' above",D16)</f>
        <v>MWth</v>
      </c>
      <c r="F40" s="320"/>
      <c r="G40" s="94"/>
      <c r="H40" s="103"/>
      <c r="I40" s="103"/>
      <c r="J40" s="103"/>
      <c r="K40" s="103"/>
      <c r="L40" s="94"/>
      <c r="M40" s="103"/>
      <c r="N40" s="103"/>
      <c r="O40" s="103"/>
      <c r="P40" s="103"/>
      <c r="Q40" s="94"/>
      <c r="R40" s="103"/>
      <c r="S40" s="103"/>
      <c r="T40" s="103"/>
      <c r="U40" s="103"/>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row>
    <row r="41" spans="1:53" ht="15" customHeight="1" x14ac:dyDescent="0.25">
      <c r="A41" s="154"/>
      <c r="B41" s="272"/>
      <c r="C41" s="272"/>
      <c r="D41" s="318"/>
      <c r="E41" s="321"/>
      <c r="F41" s="220"/>
      <c r="G41" s="104" t="s">
        <v>312</v>
      </c>
      <c r="H41" s="104" t="s">
        <v>312</v>
      </c>
      <c r="I41" s="104" t="s">
        <v>312</v>
      </c>
      <c r="J41" s="104" t="s">
        <v>312</v>
      </c>
      <c r="K41" s="104" t="s">
        <v>312</v>
      </c>
      <c r="L41" s="104" t="s">
        <v>312</v>
      </c>
      <c r="M41" s="104" t="s">
        <v>312</v>
      </c>
      <c r="N41" s="104" t="s">
        <v>312</v>
      </c>
      <c r="O41" s="104" t="s">
        <v>312</v>
      </c>
      <c r="P41" s="104" t="s">
        <v>312</v>
      </c>
      <c r="Q41" s="104" t="s">
        <v>312</v>
      </c>
      <c r="R41" s="104" t="s">
        <v>312</v>
      </c>
      <c r="S41" s="104" t="s">
        <v>312</v>
      </c>
      <c r="T41" s="104" t="s">
        <v>312</v>
      </c>
      <c r="U41" s="104" t="s">
        <v>312</v>
      </c>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row>
    <row r="42" spans="1:53" ht="15.75" customHeight="1" x14ac:dyDescent="0.25">
      <c r="A42" s="154"/>
      <c r="B42" s="272" t="s">
        <v>327</v>
      </c>
      <c r="C42" s="272"/>
      <c r="D42" s="317" t="s">
        <v>232</v>
      </c>
      <c r="E42" s="319" t="str">
        <f>IF(D16="Please select","Please select 'Functional Unit' above",D16)</f>
        <v>MWth</v>
      </c>
      <c r="F42" s="320"/>
      <c r="G42" s="173">
        <f>0.104/1.02</f>
        <v>0.10196078431372549</v>
      </c>
      <c r="H42" s="174">
        <f>Calculations!O17/1000</f>
        <v>9.901960784313725E-2</v>
      </c>
      <c r="I42" s="174">
        <f>Calculations!O16/1000</f>
        <v>0.12647058823529411</v>
      </c>
      <c r="J42" s="103"/>
      <c r="K42" s="103"/>
      <c r="L42" s="94"/>
      <c r="M42" s="103"/>
      <c r="N42" s="103"/>
      <c r="O42" s="103"/>
      <c r="P42" s="103"/>
      <c r="Q42" s="94"/>
      <c r="R42" s="103"/>
      <c r="S42" s="103"/>
      <c r="T42" s="103"/>
      <c r="U42" s="103"/>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row>
    <row r="43" spans="1:53" ht="15" customHeight="1" x14ac:dyDescent="0.25">
      <c r="A43" s="154"/>
      <c r="B43" s="272"/>
      <c r="C43" s="272"/>
      <c r="D43" s="318"/>
      <c r="E43" s="321"/>
      <c r="F43" s="220"/>
      <c r="G43" s="105" t="s">
        <v>325</v>
      </c>
      <c r="H43" s="105" t="s">
        <v>325</v>
      </c>
      <c r="I43" s="105" t="s">
        <v>325</v>
      </c>
      <c r="J43" s="104" t="s">
        <v>312</v>
      </c>
      <c r="K43" s="104" t="s">
        <v>312</v>
      </c>
      <c r="L43" s="104" t="s">
        <v>312</v>
      </c>
      <c r="M43" s="104" t="s">
        <v>312</v>
      </c>
      <c r="N43" s="104" t="s">
        <v>312</v>
      </c>
      <c r="O43" s="104" t="s">
        <v>312</v>
      </c>
      <c r="P43" s="104" t="s">
        <v>312</v>
      </c>
      <c r="Q43" s="104" t="s">
        <v>312</v>
      </c>
      <c r="R43" s="104" t="s">
        <v>312</v>
      </c>
      <c r="S43" s="104" t="s">
        <v>312</v>
      </c>
      <c r="T43" s="104" t="s">
        <v>312</v>
      </c>
      <c r="U43" s="104" t="s">
        <v>312</v>
      </c>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row>
    <row r="44" spans="1:53" ht="15.75" customHeight="1" x14ac:dyDescent="0.25">
      <c r="A44" s="154"/>
      <c r="B44" s="272" t="s">
        <v>328</v>
      </c>
      <c r="C44" s="272"/>
      <c r="D44" s="317" t="s">
        <v>232</v>
      </c>
      <c r="E44" s="319" t="s">
        <v>168</v>
      </c>
      <c r="F44" s="320"/>
      <c r="G44" s="94"/>
      <c r="H44" s="103"/>
      <c r="I44" s="103"/>
      <c r="J44" s="103"/>
      <c r="K44" s="103"/>
      <c r="L44" s="94"/>
      <c r="M44" s="103"/>
      <c r="N44" s="103"/>
      <c r="O44" s="103"/>
      <c r="P44" s="103"/>
      <c r="Q44" s="94"/>
      <c r="R44" s="103"/>
      <c r="S44" s="103"/>
      <c r="T44" s="103"/>
      <c r="U44" s="103"/>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row>
    <row r="45" spans="1:53" ht="15" customHeight="1" x14ac:dyDescent="0.25">
      <c r="A45" s="154"/>
      <c r="B45" s="272"/>
      <c r="C45" s="272"/>
      <c r="D45" s="318"/>
      <c r="E45" s="321"/>
      <c r="F45" s="220"/>
      <c r="G45" s="104" t="s">
        <v>312</v>
      </c>
      <c r="H45" s="104" t="s">
        <v>312</v>
      </c>
      <c r="I45" s="104" t="s">
        <v>312</v>
      </c>
      <c r="J45" s="104" t="s">
        <v>312</v>
      </c>
      <c r="K45" s="104" t="s">
        <v>312</v>
      </c>
      <c r="L45" s="104" t="s">
        <v>312</v>
      </c>
      <c r="M45" s="104" t="s">
        <v>312</v>
      </c>
      <c r="N45" s="104" t="s">
        <v>312</v>
      </c>
      <c r="O45" s="104" t="s">
        <v>312</v>
      </c>
      <c r="P45" s="104" t="s">
        <v>312</v>
      </c>
      <c r="Q45" s="104" t="s">
        <v>312</v>
      </c>
      <c r="R45" s="104" t="s">
        <v>312</v>
      </c>
      <c r="S45" s="104" t="s">
        <v>312</v>
      </c>
      <c r="T45" s="104" t="s">
        <v>312</v>
      </c>
      <c r="U45" s="104" t="s">
        <v>312</v>
      </c>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row>
    <row r="46" spans="1:53" ht="160.15" customHeight="1" x14ac:dyDescent="0.25">
      <c r="A46" s="154"/>
      <c r="B46" s="268" t="s">
        <v>329</v>
      </c>
      <c r="C46" s="268"/>
      <c r="D46" s="331" t="s">
        <v>408</v>
      </c>
      <c r="E46" s="332"/>
      <c r="F46" s="332"/>
      <c r="G46" s="332"/>
      <c r="H46" s="332"/>
      <c r="I46" s="332"/>
      <c r="J46" s="332"/>
      <c r="K46" s="332"/>
      <c r="L46" s="332"/>
      <c r="M46" s="332"/>
      <c r="N46" s="332"/>
      <c r="O46" s="332"/>
      <c r="P46" s="332"/>
      <c r="Q46" s="332"/>
      <c r="R46" s="332"/>
      <c r="S46" s="332"/>
      <c r="T46" s="332"/>
      <c r="U46" s="332"/>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BA46" s="108" t="str">
        <f>D46</f>
        <v>Investment costs include all the elements which are subsidiable under the SDE+ subsidy regulation. Costs for site preparation, licencing and costs of capital are not included. Investment costs do include costs for the above ground elements: heat exchanger, oil/gas separator, connections. Drilling costs form the bulk part of the investments. Costs for a heat distribution network are not included in the cost figures. The cost figure of 1352 €2020/kWth represents the average of observed capex from producing projects and those that have applied for a SDE+ subsidy (status up to 2020). Varying with scale, investment costs range between 1614 euro2020/kWth and 1041 euro2020/kW for &lt;20 MWth and &gt;20 MWth respectively.
The fixed opex is also based on existing or applied projects and includes costs for electricity. The fixed OPEX cost varies between 99 euro2020/kWth and 126 euro2020/kWth for &lt;20 MWth and &gt;20 MWth respectively. Specific for horticulture - as geothermal heat replaces natural gas based heat production - the need for CO2 fertilisation in the greenhouses remains. The costs for buying external CO2 to compensate own natural gas based CO2 supply are not included in the opex.
No information is available about future costs developments, there could be a cost reduction effect from improved drilling campaigns, currently each project sets up its own drilling timeline, and improved components (casing, pumps, gas separators, heat exchangers), which also could reduce the opex. On the other hand, the use of advanced materials, well integrity and increased safety and monitoring issues require higher investments. It is unknown how this combination of effects will influence future costs.
Cost are adjusted to euro 2015 using a 1.02 factor.</v>
      </c>
    </row>
    <row r="47" spans="1:53" ht="21" customHeight="1" x14ac:dyDescent="0.25">
      <c r="A47" s="154"/>
      <c r="B47" s="322" t="s">
        <v>100</v>
      </c>
      <c r="C47" s="322"/>
      <c r="D47" s="322"/>
      <c r="E47" s="322"/>
      <c r="F47" s="322"/>
      <c r="G47" s="322"/>
      <c r="H47" s="322"/>
      <c r="I47" s="322"/>
      <c r="J47" s="322"/>
      <c r="K47" s="322"/>
      <c r="L47" s="322"/>
      <c r="M47" s="322"/>
      <c r="N47" s="322"/>
      <c r="O47" s="322"/>
      <c r="P47" s="322"/>
      <c r="Q47" s="322"/>
      <c r="R47" s="322"/>
      <c r="S47" s="322"/>
      <c r="T47" s="322"/>
      <c r="U47" s="322"/>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row>
    <row r="48" spans="1:53" ht="15.75" customHeight="1" x14ac:dyDescent="0.25">
      <c r="A48" s="154"/>
      <c r="B48" s="326" t="s">
        <v>330</v>
      </c>
      <c r="C48" s="327"/>
      <c r="D48" s="330" t="s">
        <v>331</v>
      </c>
      <c r="E48" s="330"/>
      <c r="F48" s="330" t="s">
        <v>314</v>
      </c>
      <c r="G48" s="282" t="s">
        <v>315</v>
      </c>
      <c r="H48" s="282"/>
      <c r="I48" s="282"/>
      <c r="J48" s="282"/>
      <c r="K48" s="282"/>
      <c r="L48" s="281">
        <v>2030</v>
      </c>
      <c r="M48" s="281"/>
      <c r="N48" s="281"/>
      <c r="O48" s="281"/>
      <c r="P48" s="281"/>
      <c r="Q48" s="282">
        <v>2050</v>
      </c>
      <c r="R48" s="282"/>
      <c r="S48" s="282"/>
      <c r="T48" s="282"/>
      <c r="U48" s="282"/>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row>
    <row r="49" spans="1:53" x14ac:dyDescent="0.25">
      <c r="A49" s="154"/>
      <c r="B49" s="328"/>
      <c r="C49" s="329"/>
      <c r="D49" s="330"/>
      <c r="E49" s="330"/>
      <c r="F49" s="330"/>
      <c r="G49" s="204" t="s">
        <v>306</v>
      </c>
      <c r="H49" s="204" t="s">
        <v>307</v>
      </c>
      <c r="I49" s="204" t="s">
        <v>308</v>
      </c>
      <c r="J49" s="204" t="s">
        <v>309</v>
      </c>
      <c r="K49" s="204" t="s">
        <v>310</v>
      </c>
      <c r="L49" s="203" t="s">
        <v>306</v>
      </c>
      <c r="M49" s="203" t="s">
        <v>307</v>
      </c>
      <c r="N49" s="203" t="s">
        <v>308</v>
      </c>
      <c r="O49" s="203" t="s">
        <v>309</v>
      </c>
      <c r="P49" s="203" t="s">
        <v>310</v>
      </c>
      <c r="Q49" s="204" t="s">
        <v>306</v>
      </c>
      <c r="R49" s="204" t="s">
        <v>307</v>
      </c>
      <c r="S49" s="204" t="s">
        <v>308</v>
      </c>
      <c r="T49" s="204" t="s">
        <v>309</v>
      </c>
      <c r="U49" s="204" t="s">
        <v>310</v>
      </c>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row>
    <row r="50" spans="1:53" ht="15.75" customHeight="1" x14ac:dyDescent="0.25">
      <c r="A50" s="154"/>
      <c r="B50" s="333" t="s">
        <v>332</v>
      </c>
      <c r="C50" s="334"/>
      <c r="D50" s="339" t="s">
        <v>260</v>
      </c>
      <c r="E50" s="339"/>
      <c r="F50" s="340" t="s">
        <v>134</v>
      </c>
      <c r="G50" s="94">
        <v>-1</v>
      </c>
      <c r="H50" s="103"/>
      <c r="I50" s="103"/>
      <c r="J50" s="103"/>
      <c r="K50" s="103"/>
      <c r="L50" s="94">
        <v>1</v>
      </c>
      <c r="M50" s="103"/>
      <c r="N50" s="103"/>
      <c r="O50" s="103"/>
      <c r="P50" s="103"/>
      <c r="Q50" s="94">
        <v>1</v>
      </c>
      <c r="R50" s="103"/>
      <c r="S50" s="103"/>
      <c r="T50" s="103"/>
      <c r="U50" s="103"/>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row>
    <row r="51" spans="1:53" x14ac:dyDescent="0.25">
      <c r="A51" s="154"/>
      <c r="B51" s="335"/>
      <c r="C51" s="336"/>
      <c r="D51" s="339"/>
      <c r="E51" s="339"/>
      <c r="F51" s="340"/>
      <c r="G51" s="105" t="s">
        <v>312</v>
      </c>
      <c r="H51" s="104" t="s">
        <v>312</v>
      </c>
      <c r="I51" s="104" t="s">
        <v>312</v>
      </c>
      <c r="J51" s="104" t="s">
        <v>312</v>
      </c>
      <c r="K51" s="104" t="s">
        <v>312</v>
      </c>
      <c r="L51" s="105" t="s">
        <v>312</v>
      </c>
      <c r="M51" s="104" t="s">
        <v>312</v>
      </c>
      <c r="N51" s="104" t="s">
        <v>312</v>
      </c>
      <c r="O51" s="104" t="s">
        <v>312</v>
      </c>
      <c r="P51" s="104" t="s">
        <v>312</v>
      </c>
      <c r="Q51" s="105" t="s">
        <v>312</v>
      </c>
      <c r="R51" s="104" t="s">
        <v>312</v>
      </c>
      <c r="S51" s="104" t="s">
        <v>312</v>
      </c>
      <c r="T51" s="104" t="s">
        <v>312</v>
      </c>
      <c r="U51" s="104" t="s">
        <v>312</v>
      </c>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row>
    <row r="52" spans="1:53" ht="15" customHeight="1" x14ac:dyDescent="0.25">
      <c r="A52" s="154"/>
      <c r="B52" s="335"/>
      <c r="C52" s="336"/>
      <c r="D52" s="341" t="s">
        <v>255</v>
      </c>
      <c r="E52" s="342"/>
      <c r="F52" s="340" t="s">
        <v>134</v>
      </c>
      <c r="G52" s="94">
        <f>1/21.4</f>
        <v>4.6728971962616828E-2</v>
      </c>
      <c r="H52" s="103"/>
      <c r="I52" s="103"/>
      <c r="J52" s="103"/>
      <c r="K52" s="103"/>
      <c r="L52" s="94">
        <f>1/25</f>
        <v>0.04</v>
      </c>
      <c r="M52" s="103"/>
      <c r="N52" s="103"/>
      <c r="O52" s="103"/>
      <c r="P52" s="103"/>
      <c r="Q52" s="94">
        <f>1/30</f>
        <v>3.3333333333333333E-2</v>
      </c>
      <c r="R52" s="103"/>
      <c r="S52" s="103"/>
      <c r="T52" s="103"/>
      <c r="U52" s="103"/>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row>
    <row r="53" spans="1:53" x14ac:dyDescent="0.25">
      <c r="A53" s="154"/>
      <c r="B53" s="335"/>
      <c r="C53" s="336"/>
      <c r="D53" s="343"/>
      <c r="E53" s="344"/>
      <c r="F53" s="340"/>
      <c r="G53" s="104" t="s">
        <v>312</v>
      </c>
      <c r="H53" s="104" t="s">
        <v>312</v>
      </c>
      <c r="I53" s="104" t="s">
        <v>312</v>
      </c>
      <c r="J53" s="104" t="s">
        <v>312</v>
      </c>
      <c r="K53" s="104" t="s">
        <v>312</v>
      </c>
      <c r="L53" s="104" t="s">
        <v>312</v>
      </c>
      <c r="M53" s="104" t="s">
        <v>312</v>
      </c>
      <c r="N53" s="104" t="s">
        <v>312</v>
      </c>
      <c r="O53" s="104" t="s">
        <v>312</v>
      </c>
      <c r="P53" s="104" t="s">
        <v>312</v>
      </c>
      <c r="Q53" s="104" t="s">
        <v>312</v>
      </c>
      <c r="R53" s="104" t="s">
        <v>312</v>
      </c>
      <c r="S53" s="104" t="s">
        <v>312</v>
      </c>
      <c r="T53" s="104" t="s">
        <v>312</v>
      </c>
      <c r="U53" s="104" t="s">
        <v>312</v>
      </c>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row>
    <row r="54" spans="1:53" x14ac:dyDescent="0.25">
      <c r="A54" s="154"/>
      <c r="B54" s="335"/>
      <c r="C54" s="336"/>
      <c r="D54" s="339" t="s">
        <v>259</v>
      </c>
      <c r="E54" s="339"/>
      <c r="F54" s="340" t="s">
        <v>134</v>
      </c>
      <c r="G54" s="94">
        <v>1</v>
      </c>
      <c r="H54" s="103"/>
      <c r="I54" s="103"/>
      <c r="J54" s="103"/>
      <c r="K54" s="103"/>
      <c r="L54" s="94">
        <v>-1</v>
      </c>
      <c r="M54" s="103"/>
      <c r="N54" s="103"/>
      <c r="O54" s="103"/>
      <c r="P54" s="103"/>
      <c r="Q54" s="94">
        <v>-1</v>
      </c>
      <c r="R54" s="103"/>
      <c r="S54" s="103"/>
      <c r="T54" s="103"/>
      <c r="U54" s="103"/>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row>
    <row r="55" spans="1:53" x14ac:dyDescent="0.25">
      <c r="A55" s="154"/>
      <c r="B55" s="335"/>
      <c r="C55" s="336"/>
      <c r="D55" s="339"/>
      <c r="E55" s="339"/>
      <c r="F55" s="340"/>
      <c r="G55" s="104" t="s">
        <v>312</v>
      </c>
      <c r="H55" s="104" t="s">
        <v>312</v>
      </c>
      <c r="I55" s="104" t="s">
        <v>312</v>
      </c>
      <c r="J55" s="104" t="s">
        <v>312</v>
      </c>
      <c r="K55" s="104" t="s">
        <v>312</v>
      </c>
      <c r="L55" s="104" t="s">
        <v>312</v>
      </c>
      <c r="M55" s="104" t="s">
        <v>312</v>
      </c>
      <c r="N55" s="104" t="s">
        <v>312</v>
      </c>
      <c r="O55" s="104" t="s">
        <v>312</v>
      </c>
      <c r="P55" s="104" t="s">
        <v>312</v>
      </c>
      <c r="Q55" s="104" t="s">
        <v>312</v>
      </c>
      <c r="R55" s="104" t="s">
        <v>312</v>
      </c>
      <c r="S55" s="104" t="s">
        <v>312</v>
      </c>
      <c r="T55" s="104" t="s">
        <v>312</v>
      </c>
      <c r="U55" s="104" t="s">
        <v>312</v>
      </c>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row>
    <row r="56" spans="1:53" x14ac:dyDescent="0.25">
      <c r="A56" s="154"/>
      <c r="B56" s="335"/>
      <c r="C56" s="336"/>
      <c r="D56" s="339" t="s">
        <v>167</v>
      </c>
      <c r="E56" s="339"/>
      <c r="F56" s="340" t="s">
        <v>134</v>
      </c>
      <c r="G56" s="94"/>
      <c r="H56" s="103"/>
      <c r="I56" s="103"/>
      <c r="J56" s="103"/>
      <c r="K56" s="103"/>
      <c r="L56" s="94"/>
      <c r="M56" s="103"/>
      <c r="N56" s="103"/>
      <c r="O56" s="103"/>
      <c r="P56" s="103"/>
      <c r="Q56" s="94"/>
      <c r="R56" s="103"/>
      <c r="S56" s="103"/>
      <c r="T56" s="103"/>
      <c r="U56" s="103"/>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row>
    <row r="57" spans="1:53" x14ac:dyDescent="0.25">
      <c r="A57" s="154"/>
      <c r="B57" s="337"/>
      <c r="C57" s="338"/>
      <c r="D57" s="339"/>
      <c r="E57" s="339"/>
      <c r="F57" s="340"/>
      <c r="G57" s="104" t="s">
        <v>312</v>
      </c>
      <c r="H57" s="104" t="s">
        <v>312</v>
      </c>
      <c r="I57" s="104" t="s">
        <v>312</v>
      </c>
      <c r="J57" s="104" t="s">
        <v>312</v>
      </c>
      <c r="K57" s="104" t="s">
        <v>312</v>
      </c>
      <c r="L57" s="104" t="s">
        <v>312</v>
      </c>
      <c r="M57" s="104" t="s">
        <v>312</v>
      </c>
      <c r="N57" s="104" t="s">
        <v>312</v>
      </c>
      <c r="O57" s="104" t="s">
        <v>312</v>
      </c>
      <c r="P57" s="104" t="s">
        <v>312</v>
      </c>
      <c r="Q57" s="104" t="s">
        <v>312</v>
      </c>
      <c r="R57" s="104" t="s">
        <v>312</v>
      </c>
      <c r="S57" s="104" t="s">
        <v>312</v>
      </c>
      <c r="T57" s="104" t="s">
        <v>312</v>
      </c>
      <c r="U57" s="104" t="s">
        <v>312</v>
      </c>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row>
    <row r="58" spans="1:53" ht="40.5" customHeight="1" x14ac:dyDescent="0.25">
      <c r="A58" s="154"/>
      <c r="B58" s="272" t="s">
        <v>333</v>
      </c>
      <c r="C58" s="272"/>
      <c r="D58" s="331" t="s">
        <v>409</v>
      </c>
      <c r="E58" s="332"/>
      <c r="F58" s="332"/>
      <c r="G58" s="332"/>
      <c r="H58" s="332"/>
      <c r="I58" s="332"/>
      <c r="J58" s="332"/>
      <c r="K58" s="332"/>
      <c r="L58" s="332"/>
      <c r="M58" s="332"/>
      <c r="N58" s="332"/>
      <c r="O58" s="332"/>
      <c r="P58" s="332"/>
      <c r="Q58" s="332"/>
      <c r="R58" s="332"/>
      <c r="S58" s="332"/>
      <c r="T58" s="332"/>
      <c r="U58" s="332"/>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BA58" s="108" t="str">
        <f>D58</f>
        <v>For 2020, a Coefficent of Performance (CoP or the ratio of required electricity input per heat output, the combined inputs are the energy required per unit of energy output) of 21,4 is assumed (average of SDE++ data available as of 2020), for 2030, 25  (high end of SDE++ data) and, for 2050, 30. Technically, a CoP up to 50 could be reached but this would require the use of other casing materials, special pumps, etc.</v>
      </c>
    </row>
    <row r="59" spans="1:53" ht="21" customHeight="1" x14ac:dyDescent="0.25">
      <c r="A59" s="154"/>
      <c r="B59" s="346" t="s">
        <v>334</v>
      </c>
      <c r="C59" s="347"/>
      <c r="D59" s="347"/>
      <c r="E59" s="347"/>
      <c r="F59" s="347"/>
      <c r="G59" s="347"/>
      <c r="H59" s="347"/>
      <c r="I59" s="347"/>
      <c r="J59" s="347"/>
      <c r="K59" s="347"/>
      <c r="L59" s="347"/>
      <c r="M59" s="347"/>
      <c r="N59" s="347"/>
      <c r="O59" s="347"/>
      <c r="P59" s="347"/>
      <c r="Q59" s="347"/>
      <c r="R59" s="347"/>
      <c r="S59" s="347"/>
      <c r="T59" s="347"/>
      <c r="U59" s="347"/>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row>
    <row r="60" spans="1:53" ht="16.5" customHeight="1" x14ac:dyDescent="0.25">
      <c r="A60" s="154"/>
      <c r="B60" s="333" t="s">
        <v>335</v>
      </c>
      <c r="C60" s="334"/>
      <c r="D60" s="348" t="s">
        <v>336</v>
      </c>
      <c r="E60" s="349"/>
      <c r="F60" s="352" t="s">
        <v>314</v>
      </c>
      <c r="G60" s="282" t="s">
        <v>315</v>
      </c>
      <c r="H60" s="282"/>
      <c r="I60" s="282"/>
      <c r="J60" s="282"/>
      <c r="K60" s="282"/>
      <c r="L60" s="281">
        <v>2030</v>
      </c>
      <c r="M60" s="281"/>
      <c r="N60" s="281"/>
      <c r="O60" s="281"/>
      <c r="P60" s="281"/>
      <c r="Q60" s="282">
        <v>2050</v>
      </c>
      <c r="R60" s="282"/>
      <c r="S60" s="282"/>
      <c r="T60" s="282"/>
      <c r="U60" s="282"/>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row>
    <row r="61" spans="1:53" x14ac:dyDescent="0.25">
      <c r="A61" s="154"/>
      <c r="B61" s="335"/>
      <c r="C61" s="336"/>
      <c r="D61" s="350"/>
      <c r="E61" s="351"/>
      <c r="F61" s="353"/>
      <c r="G61" s="204" t="s">
        <v>306</v>
      </c>
      <c r="H61" s="204" t="s">
        <v>307</v>
      </c>
      <c r="I61" s="204" t="s">
        <v>308</v>
      </c>
      <c r="J61" s="204" t="s">
        <v>309</v>
      </c>
      <c r="K61" s="204" t="s">
        <v>310</v>
      </c>
      <c r="L61" s="203" t="s">
        <v>306</v>
      </c>
      <c r="M61" s="203" t="s">
        <v>307</v>
      </c>
      <c r="N61" s="203" t="s">
        <v>308</v>
      </c>
      <c r="O61" s="203" t="s">
        <v>309</v>
      </c>
      <c r="P61" s="203" t="s">
        <v>310</v>
      </c>
      <c r="Q61" s="204" t="s">
        <v>306</v>
      </c>
      <c r="R61" s="204" t="s">
        <v>307</v>
      </c>
      <c r="S61" s="204" t="s">
        <v>308</v>
      </c>
      <c r="T61" s="204" t="s">
        <v>309</v>
      </c>
      <c r="U61" s="204" t="s">
        <v>310</v>
      </c>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row>
    <row r="62" spans="1:53" ht="15.75" customHeight="1" x14ac:dyDescent="0.25">
      <c r="A62" s="154"/>
      <c r="B62" s="335"/>
      <c r="C62" s="336"/>
      <c r="D62" s="339" t="s">
        <v>320</v>
      </c>
      <c r="E62" s="339"/>
      <c r="F62" s="345" t="s">
        <v>320</v>
      </c>
      <c r="G62" s="94"/>
      <c r="H62" s="103"/>
      <c r="I62" s="103"/>
      <c r="J62" s="103"/>
      <c r="K62" s="103"/>
      <c r="L62" s="94"/>
      <c r="M62" s="103"/>
      <c r="N62" s="103"/>
      <c r="O62" s="103"/>
      <c r="P62" s="103"/>
      <c r="Q62" s="94"/>
      <c r="R62" s="103"/>
      <c r="S62" s="103"/>
      <c r="T62" s="103"/>
      <c r="U62" s="103"/>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row>
    <row r="63" spans="1:53" x14ac:dyDescent="0.25">
      <c r="A63" s="154"/>
      <c r="B63" s="335"/>
      <c r="C63" s="336"/>
      <c r="D63" s="339"/>
      <c r="E63" s="339"/>
      <c r="F63" s="345"/>
      <c r="G63" s="105" t="s">
        <v>312</v>
      </c>
      <c r="H63" s="104" t="s">
        <v>312</v>
      </c>
      <c r="I63" s="104" t="s">
        <v>312</v>
      </c>
      <c r="J63" s="104" t="s">
        <v>312</v>
      </c>
      <c r="K63" s="104" t="s">
        <v>312</v>
      </c>
      <c r="L63" s="105" t="s">
        <v>312</v>
      </c>
      <c r="M63" s="104" t="s">
        <v>312</v>
      </c>
      <c r="N63" s="104" t="s">
        <v>312</v>
      </c>
      <c r="O63" s="104" t="s">
        <v>312</v>
      </c>
      <c r="P63" s="104" t="s">
        <v>312</v>
      </c>
      <c r="Q63" s="105" t="s">
        <v>312</v>
      </c>
      <c r="R63" s="104" t="s">
        <v>312</v>
      </c>
      <c r="S63" s="104" t="s">
        <v>312</v>
      </c>
      <c r="T63" s="104" t="s">
        <v>312</v>
      </c>
      <c r="U63" s="104" t="s">
        <v>312</v>
      </c>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row>
    <row r="64" spans="1:53" x14ac:dyDescent="0.25">
      <c r="A64" s="154"/>
      <c r="B64" s="335"/>
      <c r="C64" s="336"/>
      <c r="D64" s="339" t="s">
        <v>320</v>
      </c>
      <c r="E64" s="339"/>
      <c r="F64" s="345" t="s">
        <v>320</v>
      </c>
      <c r="G64" s="94"/>
      <c r="H64" s="103"/>
      <c r="I64" s="103"/>
      <c r="J64" s="103"/>
      <c r="K64" s="103"/>
      <c r="L64" s="94"/>
      <c r="M64" s="103"/>
      <c r="N64" s="103"/>
      <c r="O64" s="103"/>
      <c r="P64" s="103"/>
      <c r="Q64" s="94"/>
      <c r="R64" s="103"/>
      <c r="S64" s="103"/>
      <c r="T64" s="103"/>
      <c r="U64" s="103"/>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row>
    <row r="65" spans="1:53" x14ac:dyDescent="0.25">
      <c r="A65" s="154"/>
      <c r="B65" s="337"/>
      <c r="C65" s="338"/>
      <c r="D65" s="339"/>
      <c r="E65" s="339"/>
      <c r="F65" s="345"/>
      <c r="G65" s="104" t="s">
        <v>312</v>
      </c>
      <c r="H65" s="104" t="s">
        <v>312</v>
      </c>
      <c r="I65" s="104" t="s">
        <v>312</v>
      </c>
      <c r="J65" s="104" t="s">
        <v>312</v>
      </c>
      <c r="K65" s="104" t="s">
        <v>312</v>
      </c>
      <c r="L65" s="104" t="s">
        <v>312</v>
      </c>
      <c r="M65" s="104" t="s">
        <v>312</v>
      </c>
      <c r="N65" s="104" t="s">
        <v>312</v>
      </c>
      <c r="O65" s="104" t="s">
        <v>312</v>
      </c>
      <c r="P65" s="104" t="s">
        <v>312</v>
      </c>
      <c r="Q65" s="104" t="s">
        <v>312</v>
      </c>
      <c r="R65" s="104" t="s">
        <v>312</v>
      </c>
      <c r="S65" s="104" t="s">
        <v>312</v>
      </c>
      <c r="T65" s="104" t="s">
        <v>312</v>
      </c>
      <c r="U65" s="104" t="s">
        <v>312</v>
      </c>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row>
    <row r="66" spans="1:53" ht="40.5" customHeight="1" x14ac:dyDescent="0.25">
      <c r="A66" s="154"/>
      <c r="B66" s="272" t="s">
        <v>337</v>
      </c>
      <c r="C66" s="272"/>
      <c r="D66" s="332" t="s">
        <v>338</v>
      </c>
      <c r="E66" s="332"/>
      <c r="F66" s="332"/>
      <c r="G66" s="332"/>
      <c r="H66" s="332"/>
      <c r="I66" s="332"/>
      <c r="J66" s="332"/>
      <c r="K66" s="332"/>
      <c r="L66" s="332"/>
      <c r="M66" s="332"/>
      <c r="N66" s="332"/>
      <c r="O66" s="332"/>
      <c r="P66" s="332"/>
      <c r="Q66" s="332"/>
      <c r="R66" s="332"/>
      <c r="S66" s="332"/>
      <c r="T66" s="332"/>
      <c r="U66" s="332"/>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BA66" s="108" t="str">
        <f>D66</f>
        <v>Explain here</v>
      </c>
    </row>
    <row r="67" spans="1:53" ht="21" customHeight="1" x14ac:dyDescent="0.25">
      <c r="A67" s="154"/>
      <c r="B67" s="322" t="s">
        <v>339</v>
      </c>
      <c r="C67" s="322"/>
      <c r="D67" s="322"/>
      <c r="E67" s="322"/>
      <c r="F67" s="322"/>
      <c r="G67" s="322"/>
      <c r="H67" s="322"/>
      <c r="I67" s="322"/>
      <c r="J67" s="322"/>
      <c r="K67" s="322"/>
      <c r="L67" s="322"/>
      <c r="M67" s="322"/>
      <c r="N67" s="322"/>
      <c r="O67" s="322"/>
      <c r="P67" s="322"/>
      <c r="Q67" s="322"/>
      <c r="R67" s="322"/>
      <c r="S67" s="322"/>
      <c r="T67" s="322"/>
      <c r="U67" s="322"/>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row>
    <row r="68" spans="1:53" ht="16.5" customHeight="1" x14ac:dyDescent="0.25">
      <c r="A68" s="154"/>
      <c r="B68" s="364" t="s">
        <v>109</v>
      </c>
      <c r="C68" s="364"/>
      <c r="D68" s="330" t="s">
        <v>340</v>
      </c>
      <c r="E68" s="330"/>
      <c r="F68" s="330" t="s">
        <v>314</v>
      </c>
      <c r="G68" s="282" t="s">
        <v>315</v>
      </c>
      <c r="H68" s="282"/>
      <c r="I68" s="282"/>
      <c r="J68" s="282"/>
      <c r="K68" s="282"/>
      <c r="L68" s="281">
        <v>2030</v>
      </c>
      <c r="M68" s="281"/>
      <c r="N68" s="281"/>
      <c r="O68" s="281"/>
      <c r="P68" s="281"/>
      <c r="Q68" s="282">
        <v>2050</v>
      </c>
      <c r="R68" s="282"/>
      <c r="S68" s="282"/>
      <c r="T68" s="282"/>
      <c r="U68" s="282"/>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row>
    <row r="69" spans="1:53" ht="15.75" customHeight="1" x14ac:dyDescent="0.25">
      <c r="A69" s="154"/>
      <c r="B69" s="364"/>
      <c r="C69" s="364"/>
      <c r="D69" s="330"/>
      <c r="E69" s="330"/>
      <c r="F69" s="330"/>
      <c r="G69" s="204" t="s">
        <v>306</v>
      </c>
      <c r="H69" s="204" t="s">
        <v>307</v>
      </c>
      <c r="I69" s="204" t="s">
        <v>308</v>
      </c>
      <c r="J69" s="204" t="s">
        <v>309</v>
      </c>
      <c r="K69" s="204" t="s">
        <v>310</v>
      </c>
      <c r="L69" s="203" t="s">
        <v>306</v>
      </c>
      <c r="M69" s="203" t="s">
        <v>307</v>
      </c>
      <c r="N69" s="203" t="s">
        <v>308</v>
      </c>
      <c r="O69" s="203" t="s">
        <v>309</v>
      </c>
      <c r="P69" s="203" t="s">
        <v>310</v>
      </c>
      <c r="Q69" s="204" t="s">
        <v>306</v>
      </c>
      <c r="R69" s="204" t="s">
        <v>307</v>
      </c>
      <c r="S69" s="204" t="s">
        <v>308</v>
      </c>
      <c r="T69" s="204" t="s">
        <v>309</v>
      </c>
      <c r="U69" s="204" t="s">
        <v>310</v>
      </c>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row>
    <row r="70" spans="1:53" ht="15.75" customHeight="1" x14ac:dyDescent="0.25">
      <c r="A70" s="154"/>
      <c r="B70" s="364"/>
      <c r="C70" s="364"/>
      <c r="D70" s="339" t="s">
        <v>167</v>
      </c>
      <c r="E70" s="339"/>
      <c r="F70" s="345" t="s">
        <v>167</v>
      </c>
      <c r="G70" s="94"/>
      <c r="H70" s="103"/>
      <c r="I70" s="103"/>
      <c r="J70" s="103"/>
      <c r="K70" s="103"/>
      <c r="L70" s="94"/>
      <c r="M70" s="103"/>
      <c r="N70" s="103"/>
      <c r="O70" s="103"/>
      <c r="P70" s="103"/>
      <c r="Q70" s="94"/>
      <c r="R70" s="103"/>
      <c r="S70" s="103"/>
      <c r="T70" s="103"/>
      <c r="U70" s="103"/>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row>
    <row r="71" spans="1:53" ht="15.75" customHeight="1" x14ac:dyDescent="0.25">
      <c r="A71" s="154"/>
      <c r="B71" s="364"/>
      <c r="C71" s="364"/>
      <c r="D71" s="339"/>
      <c r="E71" s="339"/>
      <c r="F71" s="345"/>
      <c r="G71" s="105" t="s">
        <v>312</v>
      </c>
      <c r="H71" s="104" t="s">
        <v>312</v>
      </c>
      <c r="I71" s="104" t="s">
        <v>312</v>
      </c>
      <c r="J71" s="104" t="s">
        <v>312</v>
      </c>
      <c r="K71" s="104" t="s">
        <v>312</v>
      </c>
      <c r="L71" s="105" t="s">
        <v>312</v>
      </c>
      <c r="M71" s="104" t="s">
        <v>312</v>
      </c>
      <c r="N71" s="104" t="s">
        <v>312</v>
      </c>
      <c r="O71" s="104" t="s">
        <v>312</v>
      </c>
      <c r="P71" s="104" t="s">
        <v>312</v>
      </c>
      <c r="Q71" s="105" t="s">
        <v>312</v>
      </c>
      <c r="R71" s="104" t="s">
        <v>312</v>
      </c>
      <c r="S71" s="104" t="s">
        <v>312</v>
      </c>
      <c r="T71" s="104" t="s">
        <v>312</v>
      </c>
      <c r="U71" s="104" t="s">
        <v>312</v>
      </c>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row>
    <row r="72" spans="1:53" ht="15.75" customHeight="1" x14ac:dyDescent="0.25">
      <c r="A72" s="154"/>
      <c r="B72" s="364"/>
      <c r="C72" s="364"/>
      <c r="D72" s="339" t="s">
        <v>167</v>
      </c>
      <c r="E72" s="339"/>
      <c r="F72" s="345" t="s">
        <v>167</v>
      </c>
      <c r="G72" s="94"/>
      <c r="H72" s="103"/>
      <c r="I72" s="103"/>
      <c r="J72" s="103"/>
      <c r="K72" s="103"/>
      <c r="L72" s="94"/>
      <c r="M72" s="103"/>
      <c r="N72" s="103"/>
      <c r="O72" s="103"/>
      <c r="P72" s="103"/>
      <c r="Q72" s="94"/>
      <c r="R72" s="103"/>
      <c r="S72" s="103"/>
      <c r="T72" s="103"/>
      <c r="U72" s="103"/>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row>
    <row r="73" spans="1:53" ht="15.75" customHeight="1" x14ac:dyDescent="0.25">
      <c r="A73" s="154"/>
      <c r="B73" s="364"/>
      <c r="C73" s="364"/>
      <c r="D73" s="339"/>
      <c r="E73" s="339"/>
      <c r="F73" s="345"/>
      <c r="G73" s="104" t="s">
        <v>312</v>
      </c>
      <c r="H73" s="104" t="s">
        <v>312</v>
      </c>
      <c r="I73" s="104" t="s">
        <v>312</v>
      </c>
      <c r="J73" s="104" t="s">
        <v>312</v>
      </c>
      <c r="K73" s="104" t="s">
        <v>312</v>
      </c>
      <c r="L73" s="104" t="s">
        <v>312</v>
      </c>
      <c r="M73" s="104" t="s">
        <v>312</v>
      </c>
      <c r="N73" s="104" t="s">
        <v>312</v>
      </c>
      <c r="O73" s="104" t="s">
        <v>312</v>
      </c>
      <c r="P73" s="104" t="s">
        <v>312</v>
      </c>
      <c r="Q73" s="104" t="s">
        <v>312</v>
      </c>
      <c r="R73" s="104" t="s">
        <v>312</v>
      </c>
      <c r="S73" s="104" t="s">
        <v>312</v>
      </c>
      <c r="T73" s="104" t="s">
        <v>312</v>
      </c>
      <c r="U73" s="104" t="s">
        <v>312</v>
      </c>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row>
    <row r="74" spans="1:53" ht="15.75" customHeight="1" x14ac:dyDescent="0.25">
      <c r="A74" s="154"/>
      <c r="B74" s="364"/>
      <c r="C74" s="364"/>
      <c r="D74" s="339" t="s">
        <v>167</v>
      </c>
      <c r="E74" s="339"/>
      <c r="F74" s="345" t="s">
        <v>167</v>
      </c>
      <c r="G74" s="94"/>
      <c r="H74" s="103"/>
      <c r="I74" s="103"/>
      <c r="J74" s="103"/>
      <c r="K74" s="103"/>
      <c r="L74" s="94"/>
      <c r="M74" s="103"/>
      <c r="N74" s="103"/>
      <c r="O74" s="103"/>
      <c r="P74" s="103"/>
      <c r="Q74" s="94"/>
      <c r="R74" s="103"/>
      <c r="S74" s="103"/>
      <c r="T74" s="103"/>
      <c r="U74" s="103"/>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row>
    <row r="75" spans="1:53" ht="15.75" customHeight="1" x14ac:dyDescent="0.25">
      <c r="A75" s="154"/>
      <c r="B75" s="364"/>
      <c r="C75" s="364"/>
      <c r="D75" s="339"/>
      <c r="E75" s="339"/>
      <c r="F75" s="345"/>
      <c r="G75" s="104" t="s">
        <v>312</v>
      </c>
      <c r="H75" s="104" t="s">
        <v>312</v>
      </c>
      <c r="I75" s="104" t="s">
        <v>312</v>
      </c>
      <c r="J75" s="104" t="s">
        <v>312</v>
      </c>
      <c r="K75" s="104" t="s">
        <v>312</v>
      </c>
      <c r="L75" s="104" t="s">
        <v>312</v>
      </c>
      <c r="M75" s="104" t="s">
        <v>312</v>
      </c>
      <c r="N75" s="104" t="s">
        <v>312</v>
      </c>
      <c r="O75" s="104" t="s">
        <v>312</v>
      </c>
      <c r="P75" s="104" t="s">
        <v>312</v>
      </c>
      <c r="Q75" s="104" t="s">
        <v>312</v>
      </c>
      <c r="R75" s="104" t="s">
        <v>312</v>
      </c>
      <c r="S75" s="104" t="s">
        <v>312</v>
      </c>
      <c r="T75" s="104" t="s">
        <v>312</v>
      </c>
      <c r="U75" s="104" t="s">
        <v>312</v>
      </c>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row>
    <row r="76" spans="1:53" ht="15.75" customHeight="1" x14ac:dyDescent="0.25">
      <c r="A76" s="154"/>
      <c r="B76" s="364"/>
      <c r="C76" s="364"/>
      <c r="D76" s="339" t="s">
        <v>167</v>
      </c>
      <c r="E76" s="339"/>
      <c r="F76" s="345" t="s">
        <v>167</v>
      </c>
      <c r="G76" s="94"/>
      <c r="H76" s="103"/>
      <c r="I76" s="103"/>
      <c r="J76" s="103"/>
      <c r="K76" s="103"/>
      <c r="L76" s="94"/>
      <c r="M76" s="103"/>
      <c r="N76" s="103"/>
      <c r="O76" s="103"/>
      <c r="P76" s="103"/>
      <c r="Q76" s="94"/>
      <c r="R76" s="103"/>
      <c r="S76" s="103"/>
      <c r="T76" s="103"/>
      <c r="U76" s="103"/>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row>
    <row r="77" spans="1:53" ht="16.5" customHeight="1" x14ac:dyDescent="0.25">
      <c r="A77" s="154"/>
      <c r="B77" s="364"/>
      <c r="C77" s="364"/>
      <c r="D77" s="339"/>
      <c r="E77" s="339"/>
      <c r="F77" s="345"/>
      <c r="G77" s="104" t="s">
        <v>312</v>
      </c>
      <c r="H77" s="104" t="s">
        <v>312</v>
      </c>
      <c r="I77" s="104" t="s">
        <v>312</v>
      </c>
      <c r="J77" s="104" t="s">
        <v>312</v>
      </c>
      <c r="K77" s="104" t="s">
        <v>312</v>
      </c>
      <c r="L77" s="104" t="s">
        <v>312</v>
      </c>
      <c r="M77" s="104" t="s">
        <v>312</v>
      </c>
      <c r="N77" s="104" t="s">
        <v>312</v>
      </c>
      <c r="O77" s="104" t="s">
        <v>312</v>
      </c>
      <c r="P77" s="104" t="s">
        <v>312</v>
      </c>
      <c r="Q77" s="104" t="s">
        <v>312</v>
      </c>
      <c r="R77" s="104" t="s">
        <v>312</v>
      </c>
      <c r="S77" s="104" t="s">
        <v>312</v>
      </c>
      <c r="T77" s="104" t="s">
        <v>312</v>
      </c>
      <c r="U77" s="104" t="s">
        <v>312</v>
      </c>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row>
    <row r="78" spans="1:53" ht="40.5" customHeight="1" x14ac:dyDescent="0.25">
      <c r="A78" s="154"/>
      <c r="B78" s="272" t="s">
        <v>341</v>
      </c>
      <c r="C78" s="272"/>
      <c r="D78" s="363" t="s">
        <v>342</v>
      </c>
      <c r="E78" s="270"/>
      <c r="F78" s="270"/>
      <c r="G78" s="270"/>
      <c r="H78" s="270"/>
      <c r="I78" s="270"/>
      <c r="J78" s="270"/>
      <c r="K78" s="270"/>
      <c r="L78" s="270"/>
      <c r="M78" s="270"/>
      <c r="N78" s="270"/>
      <c r="O78" s="270"/>
      <c r="P78" s="270"/>
      <c r="Q78" s="270"/>
      <c r="R78" s="270"/>
      <c r="S78" s="270"/>
      <c r="T78" s="270"/>
      <c r="U78" s="271"/>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BA78" s="108" t="str">
        <f>D78</f>
        <v>Some CO2 emissions could occur while degassing or decompressing the hot brine water from the production well. However, no information is available about the possible leakage rate.  TNO is currently doing research on this matter.  If the gas separator is not working properly, or the separated gas is not completely combusted, CH4 emissions could also occur.</v>
      </c>
    </row>
    <row r="79" spans="1:53" ht="21" customHeight="1" x14ac:dyDescent="0.25">
      <c r="A79" s="154"/>
      <c r="B79" s="354" t="s">
        <v>343</v>
      </c>
      <c r="C79" s="355"/>
      <c r="D79" s="355"/>
      <c r="E79" s="355"/>
      <c r="F79" s="355"/>
      <c r="G79" s="355"/>
      <c r="H79" s="355"/>
      <c r="I79" s="355"/>
      <c r="J79" s="355"/>
      <c r="K79" s="355"/>
      <c r="L79" s="355"/>
      <c r="M79" s="355"/>
      <c r="N79" s="355"/>
      <c r="O79" s="355"/>
      <c r="P79" s="355"/>
      <c r="Q79" s="355"/>
      <c r="R79" s="355"/>
      <c r="S79" s="355"/>
      <c r="T79" s="355"/>
      <c r="U79" s="356"/>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row>
    <row r="80" spans="1:53" ht="15.75" customHeight="1" x14ac:dyDescent="0.25">
      <c r="A80" s="154"/>
      <c r="B80" s="326" t="s">
        <v>344</v>
      </c>
      <c r="C80" s="327"/>
      <c r="D80" s="357" t="s">
        <v>314</v>
      </c>
      <c r="E80" s="358"/>
      <c r="F80" s="359"/>
      <c r="G80" s="282" t="s">
        <v>315</v>
      </c>
      <c r="H80" s="282"/>
      <c r="I80" s="282"/>
      <c r="J80" s="282"/>
      <c r="K80" s="282"/>
      <c r="L80" s="281">
        <v>2030</v>
      </c>
      <c r="M80" s="281"/>
      <c r="N80" s="281"/>
      <c r="O80" s="281"/>
      <c r="P80" s="281"/>
      <c r="Q80" s="282">
        <v>2050</v>
      </c>
      <c r="R80" s="282"/>
      <c r="S80" s="282"/>
      <c r="T80" s="282"/>
      <c r="U80" s="282"/>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row>
    <row r="81" spans="1:53" x14ac:dyDescent="0.25">
      <c r="A81" s="154"/>
      <c r="B81" s="328"/>
      <c r="C81" s="329"/>
      <c r="D81" s="360"/>
      <c r="E81" s="361"/>
      <c r="F81" s="362"/>
      <c r="G81" s="204" t="s">
        <v>306</v>
      </c>
      <c r="H81" s="204" t="s">
        <v>307</v>
      </c>
      <c r="I81" s="204" t="s">
        <v>308</v>
      </c>
      <c r="J81" s="204" t="s">
        <v>309</v>
      </c>
      <c r="K81" s="204" t="s">
        <v>310</v>
      </c>
      <c r="L81" s="203" t="s">
        <v>306</v>
      </c>
      <c r="M81" s="203" t="s">
        <v>307</v>
      </c>
      <c r="N81" s="203" t="s">
        <v>308</v>
      </c>
      <c r="O81" s="203" t="s">
        <v>309</v>
      </c>
      <c r="P81" s="203" t="s">
        <v>310</v>
      </c>
      <c r="Q81" s="204" t="s">
        <v>306</v>
      </c>
      <c r="R81" s="204" t="s">
        <v>307</v>
      </c>
      <c r="S81" s="204" t="s">
        <v>308</v>
      </c>
      <c r="T81" s="204" t="s">
        <v>309</v>
      </c>
      <c r="U81" s="204" t="s">
        <v>310</v>
      </c>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row>
    <row r="82" spans="1:53" x14ac:dyDescent="0.25">
      <c r="A82" s="154"/>
      <c r="B82" s="365" t="s">
        <v>345</v>
      </c>
      <c r="C82" s="366"/>
      <c r="D82" s="305" t="s">
        <v>320</v>
      </c>
      <c r="E82" s="305"/>
      <c r="F82" s="305"/>
      <c r="G82" s="94"/>
      <c r="H82" s="103"/>
      <c r="I82" s="103"/>
      <c r="J82" s="103"/>
      <c r="K82" s="103"/>
      <c r="L82" s="94"/>
      <c r="M82" s="103"/>
      <c r="N82" s="103"/>
      <c r="O82" s="103"/>
      <c r="P82" s="103"/>
      <c r="Q82" s="94"/>
      <c r="R82" s="103"/>
      <c r="S82" s="103"/>
      <c r="T82" s="103"/>
      <c r="U82" s="103"/>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row>
    <row r="83" spans="1:53" x14ac:dyDescent="0.25">
      <c r="A83" s="154"/>
      <c r="B83" s="367"/>
      <c r="C83" s="368"/>
      <c r="D83" s="305"/>
      <c r="E83" s="305"/>
      <c r="F83" s="305"/>
      <c r="G83" s="105" t="s">
        <v>312</v>
      </c>
      <c r="H83" s="104" t="s">
        <v>312</v>
      </c>
      <c r="I83" s="104" t="s">
        <v>312</v>
      </c>
      <c r="J83" s="104" t="s">
        <v>312</v>
      </c>
      <c r="K83" s="104" t="s">
        <v>312</v>
      </c>
      <c r="L83" s="105" t="s">
        <v>312</v>
      </c>
      <c r="M83" s="104" t="s">
        <v>312</v>
      </c>
      <c r="N83" s="104" t="s">
        <v>312</v>
      </c>
      <c r="O83" s="104" t="s">
        <v>312</v>
      </c>
      <c r="P83" s="104" t="s">
        <v>312</v>
      </c>
      <c r="Q83" s="105" t="s">
        <v>312</v>
      </c>
      <c r="R83" s="104" t="s">
        <v>312</v>
      </c>
      <c r="S83" s="104" t="s">
        <v>312</v>
      </c>
      <c r="T83" s="104" t="s">
        <v>312</v>
      </c>
      <c r="U83" s="104" t="s">
        <v>312</v>
      </c>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row>
    <row r="84" spans="1:53" x14ac:dyDescent="0.25">
      <c r="A84" s="154"/>
      <c r="B84" s="365" t="s">
        <v>345</v>
      </c>
      <c r="C84" s="366"/>
      <c r="D84" s="305" t="s">
        <v>320</v>
      </c>
      <c r="E84" s="305"/>
      <c r="F84" s="305"/>
      <c r="G84" s="94"/>
      <c r="H84" s="103"/>
      <c r="I84" s="103"/>
      <c r="J84" s="103"/>
      <c r="K84" s="103"/>
      <c r="L84" s="94"/>
      <c r="M84" s="103"/>
      <c r="N84" s="103"/>
      <c r="O84" s="103"/>
      <c r="P84" s="103"/>
      <c r="Q84" s="94"/>
      <c r="R84" s="103"/>
      <c r="S84" s="103"/>
      <c r="T84" s="103"/>
      <c r="U84" s="103"/>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row>
    <row r="85" spans="1:53" x14ac:dyDescent="0.25">
      <c r="A85" s="154"/>
      <c r="B85" s="367"/>
      <c r="C85" s="368"/>
      <c r="D85" s="305"/>
      <c r="E85" s="305"/>
      <c r="F85" s="305"/>
      <c r="G85" s="104" t="s">
        <v>312</v>
      </c>
      <c r="H85" s="104" t="s">
        <v>312</v>
      </c>
      <c r="I85" s="104" t="s">
        <v>312</v>
      </c>
      <c r="J85" s="104" t="s">
        <v>312</v>
      </c>
      <c r="K85" s="104" t="s">
        <v>312</v>
      </c>
      <c r="L85" s="104" t="s">
        <v>312</v>
      </c>
      <c r="M85" s="104" t="s">
        <v>312</v>
      </c>
      <c r="N85" s="104" t="s">
        <v>312</v>
      </c>
      <c r="O85" s="104" t="s">
        <v>312</v>
      </c>
      <c r="P85" s="104" t="s">
        <v>312</v>
      </c>
      <c r="Q85" s="104" t="s">
        <v>312</v>
      </c>
      <c r="R85" s="104" t="s">
        <v>312</v>
      </c>
      <c r="S85" s="104" t="s">
        <v>312</v>
      </c>
      <c r="T85" s="104" t="s">
        <v>312</v>
      </c>
      <c r="U85" s="104" t="s">
        <v>312</v>
      </c>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row>
    <row r="86" spans="1:53" x14ac:dyDescent="0.25">
      <c r="A86" s="154"/>
      <c r="B86" s="365" t="s">
        <v>345</v>
      </c>
      <c r="C86" s="366"/>
      <c r="D86" s="305" t="s">
        <v>320</v>
      </c>
      <c r="E86" s="305"/>
      <c r="F86" s="305"/>
      <c r="G86" s="94"/>
      <c r="H86" s="103"/>
      <c r="I86" s="103"/>
      <c r="J86" s="103"/>
      <c r="K86" s="103"/>
      <c r="L86" s="94"/>
      <c r="M86" s="103"/>
      <c r="N86" s="103"/>
      <c r="O86" s="103"/>
      <c r="P86" s="103"/>
      <c r="Q86" s="94"/>
      <c r="R86" s="103"/>
      <c r="S86" s="103"/>
      <c r="T86" s="103"/>
      <c r="U86" s="103"/>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row>
    <row r="87" spans="1:53" x14ac:dyDescent="0.25">
      <c r="A87" s="154"/>
      <c r="B87" s="367"/>
      <c r="C87" s="368"/>
      <c r="D87" s="305"/>
      <c r="E87" s="305"/>
      <c r="F87" s="305"/>
      <c r="G87" s="104" t="s">
        <v>312</v>
      </c>
      <c r="H87" s="104" t="s">
        <v>312</v>
      </c>
      <c r="I87" s="104" t="s">
        <v>312</v>
      </c>
      <c r="J87" s="104" t="s">
        <v>312</v>
      </c>
      <c r="K87" s="104" t="s">
        <v>312</v>
      </c>
      <c r="L87" s="104" t="s">
        <v>312</v>
      </c>
      <c r="M87" s="104" t="s">
        <v>312</v>
      </c>
      <c r="N87" s="104" t="s">
        <v>312</v>
      </c>
      <c r="O87" s="104" t="s">
        <v>312</v>
      </c>
      <c r="P87" s="104" t="s">
        <v>312</v>
      </c>
      <c r="Q87" s="104" t="s">
        <v>312</v>
      </c>
      <c r="R87" s="104" t="s">
        <v>312</v>
      </c>
      <c r="S87" s="104" t="s">
        <v>312</v>
      </c>
      <c r="T87" s="104" t="s">
        <v>312</v>
      </c>
      <c r="U87" s="104" t="s">
        <v>312</v>
      </c>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row>
    <row r="88" spans="1:53" x14ac:dyDescent="0.25">
      <c r="A88" s="154"/>
      <c r="B88" s="365" t="s">
        <v>345</v>
      </c>
      <c r="C88" s="366"/>
      <c r="D88" s="305" t="s">
        <v>320</v>
      </c>
      <c r="E88" s="305"/>
      <c r="F88" s="305"/>
      <c r="G88" s="94"/>
      <c r="H88" s="103"/>
      <c r="I88" s="103"/>
      <c r="J88" s="103"/>
      <c r="K88" s="103"/>
      <c r="L88" s="94"/>
      <c r="M88" s="103"/>
      <c r="N88" s="103"/>
      <c r="O88" s="103"/>
      <c r="P88" s="103"/>
      <c r="Q88" s="94"/>
      <c r="R88" s="103"/>
      <c r="S88" s="103"/>
      <c r="T88" s="103"/>
      <c r="U88" s="103"/>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row>
    <row r="89" spans="1:53" x14ac:dyDescent="0.25">
      <c r="A89" s="154"/>
      <c r="B89" s="367"/>
      <c r="C89" s="368"/>
      <c r="D89" s="305"/>
      <c r="E89" s="305"/>
      <c r="F89" s="305"/>
      <c r="G89" s="104" t="s">
        <v>312</v>
      </c>
      <c r="H89" s="104" t="s">
        <v>312</v>
      </c>
      <c r="I89" s="104" t="s">
        <v>312</v>
      </c>
      <c r="J89" s="104" t="s">
        <v>312</v>
      </c>
      <c r="K89" s="104" t="s">
        <v>312</v>
      </c>
      <c r="L89" s="104" t="s">
        <v>312</v>
      </c>
      <c r="M89" s="104" t="s">
        <v>312</v>
      </c>
      <c r="N89" s="104" t="s">
        <v>312</v>
      </c>
      <c r="O89" s="104" t="s">
        <v>312</v>
      </c>
      <c r="P89" s="104" t="s">
        <v>312</v>
      </c>
      <c r="Q89" s="104" t="s">
        <v>312</v>
      </c>
      <c r="R89" s="104" t="s">
        <v>312</v>
      </c>
      <c r="S89" s="104" t="s">
        <v>312</v>
      </c>
      <c r="T89" s="104" t="s">
        <v>312</v>
      </c>
      <c r="U89" s="104" t="s">
        <v>312</v>
      </c>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row>
    <row r="90" spans="1:53" ht="36.75" customHeight="1" x14ac:dyDescent="0.25">
      <c r="A90" s="154"/>
      <c r="B90" s="272" t="s">
        <v>322</v>
      </c>
      <c r="C90" s="272"/>
      <c r="D90" s="363" t="s">
        <v>338</v>
      </c>
      <c r="E90" s="270"/>
      <c r="F90" s="270"/>
      <c r="G90" s="270"/>
      <c r="H90" s="270"/>
      <c r="I90" s="270"/>
      <c r="J90" s="270"/>
      <c r="K90" s="270"/>
      <c r="L90" s="270"/>
      <c r="M90" s="270"/>
      <c r="N90" s="270"/>
      <c r="O90" s="270"/>
      <c r="P90" s="270"/>
      <c r="Q90" s="270"/>
      <c r="R90" s="270"/>
      <c r="S90" s="270"/>
      <c r="T90" s="270"/>
      <c r="U90" s="271"/>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row>
    <row r="91" spans="1:53" ht="21" customHeight="1" x14ac:dyDescent="0.25">
      <c r="A91" s="154"/>
      <c r="B91" s="354" t="s">
        <v>116</v>
      </c>
      <c r="C91" s="355"/>
      <c r="D91" s="355"/>
      <c r="E91" s="355"/>
      <c r="F91" s="355"/>
      <c r="G91" s="355"/>
      <c r="H91" s="355"/>
      <c r="I91" s="355"/>
      <c r="J91" s="355"/>
      <c r="K91" s="355"/>
      <c r="L91" s="355"/>
      <c r="M91" s="355"/>
      <c r="N91" s="355"/>
      <c r="O91" s="355"/>
      <c r="P91" s="355"/>
      <c r="Q91" s="355"/>
      <c r="R91" s="355"/>
      <c r="S91" s="355"/>
      <c r="T91" s="355"/>
      <c r="U91" s="356"/>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row>
    <row r="92" spans="1:53" ht="15" customHeight="1" x14ac:dyDescent="0.25">
      <c r="A92" s="154"/>
      <c r="B92" s="83">
        <v>1</v>
      </c>
      <c r="C92" s="369" t="s">
        <v>405</v>
      </c>
      <c r="D92" s="369"/>
      <c r="E92" s="369"/>
      <c r="F92" s="369"/>
      <c r="G92" s="369"/>
      <c r="H92" s="369"/>
      <c r="I92" s="369"/>
      <c r="J92" s="369"/>
      <c r="K92" s="369"/>
      <c r="L92" s="369"/>
      <c r="M92" s="369"/>
      <c r="N92" s="369"/>
      <c r="O92" s="369"/>
      <c r="P92" s="369"/>
      <c r="Q92" s="369"/>
      <c r="R92" s="369"/>
      <c r="S92" s="369"/>
      <c r="T92" s="369"/>
      <c r="U92" s="369"/>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BA92" s="108" t="str">
        <f>C92</f>
        <v>SDE+2021: Eindadvies Basisbedragen SDE+ 2021, PBL 2021.</v>
      </c>
    </row>
    <row r="93" spans="1:53" ht="15" customHeight="1" x14ac:dyDescent="0.25">
      <c r="A93" s="154"/>
      <c r="B93" s="83">
        <v>2</v>
      </c>
      <c r="C93" s="369" t="s">
        <v>406</v>
      </c>
      <c r="D93" s="369"/>
      <c r="E93" s="369"/>
      <c r="F93" s="369"/>
      <c r="G93" s="369"/>
      <c r="H93" s="369"/>
      <c r="I93" s="369"/>
      <c r="J93" s="369"/>
      <c r="K93" s="369"/>
      <c r="L93" s="369"/>
      <c r="M93" s="369"/>
      <c r="N93" s="369"/>
      <c r="O93" s="369"/>
      <c r="P93" s="369"/>
      <c r="Q93" s="369"/>
      <c r="R93" s="369"/>
      <c r="S93" s="369"/>
      <c r="T93" s="369"/>
      <c r="U93" s="369"/>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BA93" s="108" t="str">
        <f t="shared" ref="BA93:BA102" si="0">C93</f>
        <v>SPG 2018: Masterplan Aardwarmte in Nederland, SPG, DAGO, WN, EBN, 2018.</v>
      </c>
    </row>
    <row r="94" spans="1:53" ht="15" customHeight="1" x14ac:dyDescent="0.25">
      <c r="A94" s="154"/>
      <c r="B94" s="83">
        <v>3</v>
      </c>
      <c r="C94" s="371" t="s">
        <v>346</v>
      </c>
      <c r="D94" s="369"/>
      <c r="E94" s="369"/>
      <c r="F94" s="369"/>
      <c r="G94" s="369"/>
      <c r="H94" s="369"/>
      <c r="I94" s="369"/>
      <c r="J94" s="369"/>
      <c r="K94" s="369"/>
      <c r="L94" s="369"/>
      <c r="M94" s="369"/>
      <c r="N94" s="369"/>
      <c r="O94" s="369"/>
      <c r="P94" s="369"/>
      <c r="Q94" s="369"/>
      <c r="R94" s="369"/>
      <c r="S94" s="369"/>
      <c r="T94" s="369"/>
      <c r="U94" s="369"/>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BA94" s="108" t="str">
        <f t="shared" si="0"/>
        <v>https://www.geothermie.nl/index.php/nl/</v>
      </c>
    </row>
    <row r="95" spans="1:53" ht="15" customHeight="1" x14ac:dyDescent="0.25">
      <c r="A95" s="154"/>
      <c r="B95" s="83">
        <v>4</v>
      </c>
      <c r="C95" s="369" t="s">
        <v>404</v>
      </c>
      <c r="D95" s="369"/>
      <c r="E95" s="369"/>
      <c r="F95" s="369"/>
      <c r="G95" s="369"/>
      <c r="H95" s="369"/>
      <c r="I95" s="369"/>
      <c r="J95" s="369"/>
      <c r="K95" s="369"/>
      <c r="L95" s="369"/>
      <c r="M95" s="369"/>
      <c r="N95" s="369"/>
      <c r="O95" s="369"/>
      <c r="P95" s="369"/>
      <c r="Q95" s="369"/>
      <c r="R95" s="369"/>
      <c r="S95" s="369"/>
      <c r="T95" s="369"/>
      <c r="U95" s="369"/>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BA95" s="108" t="str">
        <f t="shared" si="0"/>
        <v>CBS: statline.nl</v>
      </c>
    </row>
    <row r="96" spans="1:53" ht="15" customHeight="1" x14ac:dyDescent="0.25">
      <c r="A96" s="154"/>
      <c r="B96" s="83">
        <v>5</v>
      </c>
      <c r="C96" s="369" t="s">
        <v>347</v>
      </c>
      <c r="D96" s="369"/>
      <c r="E96" s="369"/>
      <c r="F96" s="369"/>
      <c r="G96" s="369"/>
      <c r="H96" s="369"/>
      <c r="I96" s="369"/>
      <c r="J96" s="369"/>
      <c r="K96" s="369"/>
      <c r="L96" s="369"/>
      <c r="M96" s="369"/>
      <c r="N96" s="369"/>
      <c r="O96" s="369"/>
      <c r="P96" s="369"/>
      <c r="Q96" s="369"/>
      <c r="R96" s="369"/>
      <c r="S96" s="369"/>
      <c r="T96" s="369"/>
      <c r="U96" s="369"/>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BA96" s="108" t="e">
        <f>#REF!</f>
        <v>#REF!</v>
      </c>
    </row>
    <row r="97" spans="1:53" ht="15" customHeight="1" x14ac:dyDescent="0.25">
      <c r="A97" s="154"/>
      <c r="B97" s="83">
        <v>6</v>
      </c>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BA97" s="108" t="str">
        <f>C96</f>
        <v>nlog.nl</v>
      </c>
    </row>
    <row r="98" spans="1:53" x14ac:dyDescent="0.25">
      <c r="A98" s="154"/>
      <c r="B98" s="83">
        <v>7</v>
      </c>
      <c r="C98" s="369"/>
      <c r="D98" s="369"/>
      <c r="E98" s="369"/>
      <c r="F98" s="369"/>
      <c r="G98" s="369"/>
      <c r="H98" s="369"/>
      <c r="I98" s="369"/>
      <c r="J98" s="369"/>
      <c r="K98" s="369"/>
      <c r="L98" s="369"/>
      <c r="M98" s="369"/>
      <c r="N98" s="369"/>
      <c r="O98" s="369"/>
      <c r="P98" s="369"/>
      <c r="Q98" s="369"/>
      <c r="R98" s="369"/>
      <c r="S98" s="369"/>
      <c r="T98" s="369"/>
      <c r="U98" s="369"/>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BA98" s="108">
        <f t="shared" si="0"/>
        <v>0</v>
      </c>
    </row>
    <row r="99" spans="1:53" x14ac:dyDescent="0.25">
      <c r="A99" s="154"/>
      <c r="B99" s="83">
        <v>8</v>
      </c>
      <c r="C99" s="369"/>
      <c r="D99" s="369"/>
      <c r="E99" s="369"/>
      <c r="F99" s="369"/>
      <c r="G99" s="369"/>
      <c r="H99" s="369"/>
      <c r="I99" s="369"/>
      <c r="J99" s="369"/>
      <c r="K99" s="369"/>
      <c r="L99" s="369"/>
      <c r="M99" s="369"/>
      <c r="N99" s="369"/>
      <c r="O99" s="369"/>
      <c r="P99" s="369"/>
      <c r="Q99" s="369"/>
      <c r="R99" s="369"/>
      <c r="S99" s="369"/>
      <c r="T99" s="369"/>
      <c r="U99" s="369"/>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BA99" s="108">
        <f t="shared" si="0"/>
        <v>0</v>
      </c>
    </row>
    <row r="100" spans="1:53" x14ac:dyDescent="0.25">
      <c r="A100" s="154"/>
      <c r="B100" s="83">
        <v>9</v>
      </c>
      <c r="C100" s="369"/>
      <c r="D100" s="369"/>
      <c r="E100" s="369"/>
      <c r="F100" s="369"/>
      <c r="G100" s="369"/>
      <c r="H100" s="369"/>
      <c r="I100" s="369"/>
      <c r="J100" s="369"/>
      <c r="K100" s="369"/>
      <c r="L100" s="369"/>
      <c r="M100" s="369"/>
      <c r="N100" s="369"/>
      <c r="O100" s="369"/>
      <c r="P100" s="369"/>
      <c r="Q100" s="369"/>
      <c r="R100" s="369"/>
      <c r="S100" s="369"/>
      <c r="T100" s="369"/>
      <c r="U100" s="369"/>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BA100" s="108">
        <f t="shared" si="0"/>
        <v>0</v>
      </c>
    </row>
    <row r="101" spans="1:53" x14ac:dyDescent="0.25">
      <c r="A101" s="154"/>
      <c r="B101" s="83">
        <v>10</v>
      </c>
      <c r="C101" s="369"/>
      <c r="D101" s="369"/>
      <c r="E101" s="369"/>
      <c r="F101" s="369"/>
      <c r="G101" s="369"/>
      <c r="H101" s="369"/>
      <c r="I101" s="369"/>
      <c r="J101" s="369"/>
      <c r="K101" s="369"/>
      <c r="L101" s="369"/>
      <c r="M101" s="369"/>
      <c r="N101" s="369"/>
      <c r="O101" s="369"/>
      <c r="P101" s="369"/>
      <c r="Q101" s="369"/>
      <c r="R101" s="369"/>
      <c r="S101" s="369"/>
      <c r="T101" s="369"/>
      <c r="U101" s="369"/>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BA101" s="108">
        <f t="shared" si="0"/>
        <v>0</v>
      </c>
    </row>
    <row r="102" spans="1:53" x14ac:dyDescent="0.25">
      <c r="A102" s="154"/>
      <c r="B102" s="370" t="s">
        <v>348</v>
      </c>
      <c r="C102" s="369" t="s">
        <v>349</v>
      </c>
      <c r="D102" s="369"/>
      <c r="E102" s="369"/>
      <c r="F102" s="369"/>
      <c r="G102" s="369"/>
      <c r="H102" s="369"/>
      <c r="I102" s="369"/>
      <c r="J102" s="369"/>
      <c r="K102" s="369"/>
      <c r="L102" s="369"/>
      <c r="M102" s="369"/>
      <c r="N102" s="369"/>
      <c r="O102" s="369"/>
      <c r="P102" s="369"/>
      <c r="Q102" s="369"/>
      <c r="R102" s="369"/>
      <c r="S102" s="369"/>
      <c r="T102" s="369"/>
      <c r="U102" s="369"/>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BA102" s="108" t="str">
        <f t="shared" si="0"/>
        <v>Add other sources here</v>
      </c>
    </row>
    <row r="103" spans="1:53" x14ac:dyDescent="0.25">
      <c r="A103" s="154"/>
      <c r="B103" s="370"/>
      <c r="C103" s="369"/>
      <c r="D103" s="369"/>
      <c r="E103" s="369"/>
      <c r="F103" s="369"/>
      <c r="G103" s="369"/>
      <c r="H103" s="369"/>
      <c r="I103" s="369"/>
      <c r="J103" s="369"/>
      <c r="K103" s="369"/>
      <c r="L103" s="369"/>
      <c r="M103" s="369"/>
      <c r="N103" s="369"/>
      <c r="O103" s="369"/>
      <c r="P103" s="369"/>
      <c r="Q103" s="369"/>
      <c r="R103" s="369"/>
      <c r="S103" s="369"/>
      <c r="T103" s="369"/>
      <c r="U103" s="369"/>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row>
    <row r="104" spans="1:53" x14ac:dyDescent="0.25">
      <c r="A104" s="154"/>
      <c r="B104" s="370"/>
      <c r="C104" s="369"/>
      <c r="D104" s="369"/>
      <c r="E104" s="369"/>
      <c r="F104" s="369"/>
      <c r="G104" s="369"/>
      <c r="H104" s="369"/>
      <c r="I104" s="369"/>
      <c r="J104" s="369"/>
      <c r="K104" s="369"/>
      <c r="L104" s="369"/>
      <c r="M104" s="369"/>
      <c r="N104" s="369"/>
      <c r="O104" s="369"/>
      <c r="P104" s="369"/>
      <c r="Q104" s="369"/>
      <c r="R104" s="369"/>
      <c r="S104" s="369"/>
      <c r="T104" s="369"/>
      <c r="U104" s="369"/>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row>
  </sheetData>
  <mergeCells count="149">
    <mergeCell ref="C100:U100"/>
    <mergeCell ref="C101:U101"/>
    <mergeCell ref="B102:B104"/>
    <mergeCell ref="C102:U104"/>
    <mergeCell ref="C93:U93"/>
    <mergeCell ref="C94:U94"/>
    <mergeCell ref="C95:U95"/>
    <mergeCell ref="C96:U96"/>
    <mergeCell ref="C98:U98"/>
    <mergeCell ref="C99:U99"/>
    <mergeCell ref="B88:C89"/>
    <mergeCell ref="D88:F89"/>
    <mergeCell ref="B90:C90"/>
    <mergeCell ref="D90:U90"/>
    <mergeCell ref="B91:U91"/>
    <mergeCell ref="C92:U92"/>
    <mergeCell ref="B82:C83"/>
    <mergeCell ref="D82:F83"/>
    <mergeCell ref="B84:C85"/>
    <mergeCell ref="D84:F85"/>
    <mergeCell ref="B86:C87"/>
    <mergeCell ref="D86:F87"/>
    <mergeCell ref="B79:U79"/>
    <mergeCell ref="B80:C81"/>
    <mergeCell ref="D80:F81"/>
    <mergeCell ref="G80:K80"/>
    <mergeCell ref="L80:P80"/>
    <mergeCell ref="Q80:U80"/>
    <mergeCell ref="D74:E75"/>
    <mergeCell ref="F74:F75"/>
    <mergeCell ref="D76:E77"/>
    <mergeCell ref="F76:F77"/>
    <mergeCell ref="B78:C78"/>
    <mergeCell ref="D78:U78"/>
    <mergeCell ref="B68:C77"/>
    <mergeCell ref="D68:E69"/>
    <mergeCell ref="F68:F69"/>
    <mergeCell ref="G68:K68"/>
    <mergeCell ref="L68:P68"/>
    <mergeCell ref="Q68:U68"/>
    <mergeCell ref="D70:E71"/>
    <mergeCell ref="F70:F71"/>
    <mergeCell ref="D72:E73"/>
    <mergeCell ref="F72:F73"/>
    <mergeCell ref="F62:F63"/>
    <mergeCell ref="D64:E65"/>
    <mergeCell ref="F64:F65"/>
    <mergeCell ref="B66:C66"/>
    <mergeCell ref="D66:U66"/>
    <mergeCell ref="B67:U67"/>
    <mergeCell ref="B58:C58"/>
    <mergeCell ref="D58:U58"/>
    <mergeCell ref="B59:U59"/>
    <mergeCell ref="B60:C65"/>
    <mergeCell ref="D60:E61"/>
    <mergeCell ref="F60:F61"/>
    <mergeCell ref="G60:K60"/>
    <mergeCell ref="L60:P60"/>
    <mergeCell ref="Q60:U60"/>
    <mergeCell ref="D62:E63"/>
    <mergeCell ref="B50:C57"/>
    <mergeCell ref="D50:E51"/>
    <mergeCell ref="F50:F51"/>
    <mergeCell ref="D52:E53"/>
    <mergeCell ref="F52:F53"/>
    <mergeCell ref="D54:E55"/>
    <mergeCell ref="F54:F55"/>
    <mergeCell ref="D56:E57"/>
    <mergeCell ref="F56:F57"/>
    <mergeCell ref="B48:C49"/>
    <mergeCell ref="D48:E49"/>
    <mergeCell ref="F48:F49"/>
    <mergeCell ref="G48:K48"/>
    <mergeCell ref="L48:P48"/>
    <mergeCell ref="Q48:U48"/>
    <mergeCell ref="B44:C45"/>
    <mergeCell ref="D44:D45"/>
    <mergeCell ref="E44:F45"/>
    <mergeCell ref="B46:C46"/>
    <mergeCell ref="D46:U46"/>
    <mergeCell ref="B47:U47"/>
    <mergeCell ref="B40:C41"/>
    <mergeCell ref="D40:D41"/>
    <mergeCell ref="E40:F41"/>
    <mergeCell ref="B42:C43"/>
    <mergeCell ref="D42:D43"/>
    <mergeCell ref="E42:F43"/>
    <mergeCell ref="B35:U35"/>
    <mergeCell ref="B36:F37"/>
    <mergeCell ref="G36:K36"/>
    <mergeCell ref="L36:P36"/>
    <mergeCell ref="Q36:U36"/>
    <mergeCell ref="B38:C39"/>
    <mergeCell ref="D38:D39"/>
    <mergeCell ref="E38:F39"/>
    <mergeCell ref="B32:C32"/>
    <mergeCell ref="D32:K32"/>
    <mergeCell ref="B33:C33"/>
    <mergeCell ref="D33:K33"/>
    <mergeCell ref="B34:C34"/>
    <mergeCell ref="D34:K34"/>
    <mergeCell ref="B29:C29"/>
    <mergeCell ref="D29:K29"/>
    <mergeCell ref="B30:C30"/>
    <mergeCell ref="D30:K30"/>
    <mergeCell ref="B31:C31"/>
    <mergeCell ref="D31:K31"/>
    <mergeCell ref="B25:C26"/>
    <mergeCell ref="D25:E26"/>
    <mergeCell ref="F25:F26"/>
    <mergeCell ref="B27:C27"/>
    <mergeCell ref="D27:K27"/>
    <mergeCell ref="B28:C28"/>
    <mergeCell ref="D28:K28"/>
    <mergeCell ref="B21:C21"/>
    <mergeCell ref="D21:E21"/>
    <mergeCell ref="G21:K21"/>
    <mergeCell ref="L21:P21"/>
    <mergeCell ref="Q21:U21"/>
    <mergeCell ref="B22:C24"/>
    <mergeCell ref="D22:E24"/>
    <mergeCell ref="F22:F24"/>
    <mergeCell ref="B15:K15"/>
    <mergeCell ref="B16:C17"/>
    <mergeCell ref="D16:K17"/>
    <mergeCell ref="B18:C18"/>
    <mergeCell ref="D18:F18"/>
    <mergeCell ref="B19:C20"/>
    <mergeCell ref="D19:F20"/>
    <mergeCell ref="B11:C11"/>
    <mergeCell ref="D11:K11"/>
    <mergeCell ref="B12:C12"/>
    <mergeCell ref="D12:K12"/>
    <mergeCell ref="B13:C14"/>
    <mergeCell ref="D13:K13"/>
    <mergeCell ref="D14:K14"/>
    <mergeCell ref="B8:C9"/>
    <mergeCell ref="D8:K8"/>
    <mergeCell ref="O8:Q10"/>
    <mergeCell ref="D9:K9"/>
    <mergeCell ref="B10:C10"/>
    <mergeCell ref="D10:K10"/>
    <mergeCell ref="B4:K4"/>
    <mergeCell ref="B5:C5"/>
    <mergeCell ref="D5:K5"/>
    <mergeCell ref="B6:C6"/>
    <mergeCell ref="D6:K6"/>
    <mergeCell ref="B7:C7"/>
    <mergeCell ref="D7:K7"/>
  </mergeCells>
  <conditionalFormatting sqref="D8">
    <cfRule type="containsText" dxfId="651" priority="136" operator="containsText" text="Please select">
      <formula>NOT(ISERROR(SEARCH("Please select",D8)))</formula>
    </cfRule>
  </conditionalFormatting>
  <conditionalFormatting sqref="D9 L9:N9">
    <cfRule type="containsText" dxfId="650" priority="135" operator="containsText" text="Other (specify here)">
      <formula>NOT(ISERROR(SEARCH("Other (specify here)",D9)))</formula>
    </cfRule>
  </conditionalFormatting>
  <conditionalFormatting sqref="D10">
    <cfRule type="containsText" dxfId="649" priority="134" operator="containsText" text="Please select">
      <formula>NOT(ISERROR(SEARCH("Please select",D10)))</formula>
    </cfRule>
  </conditionalFormatting>
  <conditionalFormatting sqref="L11:N11">
    <cfRule type="containsText" dxfId="648" priority="133" operator="containsText" text="Specify here">
      <formula>NOT(ISERROR(SEARCH("Specify here",L11)))</formula>
    </cfRule>
  </conditionalFormatting>
  <conditionalFormatting sqref="D12 L12:N12">
    <cfRule type="containsText" dxfId="647" priority="132" operator="containsText" text="Specify here">
      <formula>NOT(ISERROR(SEARCH("Specify here",D12)))</formula>
    </cfRule>
  </conditionalFormatting>
  <conditionalFormatting sqref="D6 L6:O6 L7:N7">
    <cfRule type="containsText" dxfId="646" priority="131" operator="containsText" text="DD-MM-YYYY">
      <formula>NOT(ISERROR(SEARCH("DD-MM-YYYY",D6)))</formula>
    </cfRule>
  </conditionalFormatting>
  <conditionalFormatting sqref="D13 L13:O13">
    <cfRule type="containsText" dxfId="645" priority="128" operator="containsText" text="Select the observed or expected TRL level in 2020">
      <formula>NOT(ISERROR(SEARCH("Select the observed or expected TRL level in 2020",D13)))</formula>
    </cfRule>
    <cfRule type="containsText" dxfId="644" priority="130" operator="containsText" text="Specify here the observed or expected TRL level in 2020">
      <formula>NOT(ISERROR(SEARCH("Specify here the observed or expected TRL level in 2020",D13)))</formula>
    </cfRule>
  </conditionalFormatting>
  <conditionalFormatting sqref="D14 L14:O14">
    <cfRule type="containsText" dxfId="643" priority="129" operator="containsText" text="Explain here">
      <formula>NOT(ISERROR(SEARCH("Explain here",D14)))</formula>
    </cfRule>
  </conditionalFormatting>
  <conditionalFormatting sqref="D33 D31">
    <cfRule type="containsText" dxfId="642" priority="127" operator="containsText" text="Please select">
      <formula>NOT(ISERROR(SEARCH("Please select",D31)))</formula>
    </cfRule>
  </conditionalFormatting>
  <conditionalFormatting sqref="D31 L31:O31">
    <cfRule type="containsText" dxfId="641" priority="126" operator="containsText" text="Specify here">
      <formula>NOT(ISERROR(SEARCH("Specify here",D31)))</formula>
    </cfRule>
  </conditionalFormatting>
  <conditionalFormatting sqref="L28:O29">
    <cfRule type="containsText" dxfId="640" priority="125" operator="containsText" text="Specify here">
      <formula>NOT(ISERROR(SEARCH("Specify here",L28)))</formula>
    </cfRule>
  </conditionalFormatting>
  <conditionalFormatting sqref="L27:O29">
    <cfRule type="containsText" dxfId="639" priority="124" operator="containsText" text="Specify here">
      <formula>NOT(ISERROR(SEARCH("Specify here",L27)))</formula>
    </cfRule>
  </conditionalFormatting>
  <conditionalFormatting sqref="L32:O32">
    <cfRule type="containsText" dxfId="638" priority="123" operator="containsText" text="Specify here">
      <formula>NOT(ISERROR(SEARCH("Specify here",L32)))</formula>
    </cfRule>
  </conditionalFormatting>
  <conditionalFormatting sqref="D34 L34:O34">
    <cfRule type="containsText" dxfId="637" priority="122" operator="containsText" text="Explain here (e.g. other technical dimensions, region covered for potential such as NL or EU)">
      <formula>NOT(ISERROR(SEARCH("Explain here (e.g. other technical dimensions, region covered for potential such as NL or EU)",D34)))</formula>
    </cfRule>
  </conditionalFormatting>
  <conditionalFormatting sqref="L5:O5">
    <cfRule type="containsText" dxfId="636" priority="121" operator="containsText" text="Specify technology option name here">
      <formula>NOT(ISERROR(SEARCH("Specify technology option name here",L5)))</formula>
    </cfRule>
  </conditionalFormatting>
  <conditionalFormatting sqref="D19">
    <cfRule type="containsText" dxfId="635" priority="120" operator="containsText" text="Select Functional Unit above">
      <formula>NOT(ISERROR(SEARCH("Select Functional Unit above",D19)))</formula>
    </cfRule>
  </conditionalFormatting>
  <conditionalFormatting sqref="D50">
    <cfRule type="containsText" dxfId="634" priority="118" operator="containsText" text="Select">
      <formula>NOT(ISERROR(SEARCH("Select",D50)))</formula>
    </cfRule>
  </conditionalFormatting>
  <conditionalFormatting sqref="D46">
    <cfRule type="containsText" dxfId="633" priority="119" operator="containsText" text="Explain here (e.g. other costs)">
      <formula>NOT(ISERROR(SEARCH("Explain here (e.g. other costs)",D46)))</formula>
    </cfRule>
  </conditionalFormatting>
  <conditionalFormatting sqref="D72">
    <cfRule type="containsText" dxfId="632" priority="109" operator="containsText" text="Select">
      <formula>NOT(ISERROR(SEARCH("Select",D72)))</formula>
    </cfRule>
  </conditionalFormatting>
  <conditionalFormatting sqref="D74">
    <cfRule type="containsText" dxfId="631" priority="108" operator="containsText" text="Select">
      <formula>NOT(ISERROR(SEARCH("Select",D74)))</formula>
    </cfRule>
  </conditionalFormatting>
  <conditionalFormatting sqref="D52">
    <cfRule type="containsText" dxfId="630" priority="117" operator="containsText" text="Select">
      <formula>NOT(ISERROR(SEARCH("Select",D52)))</formula>
    </cfRule>
  </conditionalFormatting>
  <conditionalFormatting sqref="D76">
    <cfRule type="containsText" dxfId="629" priority="107" operator="containsText" text="Select">
      <formula>NOT(ISERROR(SEARCH("Select",D76)))</formula>
    </cfRule>
  </conditionalFormatting>
  <conditionalFormatting sqref="D54">
    <cfRule type="containsText" dxfId="628" priority="116" operator="containsText" text="Select">
      <formula>NOT(ISERROR(SEARCH("Select",D54)))</formula>
    </cfRule>
  </conditionalFormatting>
  <conditionalFormatting sqref="D56">
    <cfRule type="containsText" dxfId="627" priority="115" operator="containsText" text="Select">
      <formula>NOT(ISERROR(SEARCH("Select",D56)))</formula>
    </cfRule>
  </conditionalFormatting>
  <conditionalFormatting sqref="F50:F57">
    <cfRule type="containsText" dxfId="626" priority="114" operator="containsText" text="Please select">
      <formula>NOT(ISERROR(SEARCH("Please select",F50)))</formula>
    </cfRule>
  </conditionalFormatting>
  <conditionalFormatting sqref="D58">
    <cfRule type="containsText" dxfId="625" priority="113" operator="containsText" text="Explain here (e.g. flexible in and out)">
      <formula>NOT(ISERROR(SEARCH("Explain here (e.g. flexible in and out)",D58)))</formula>
    </cfRule>
  </conditionalFormatting>
  <conditionalFormatting sqref="D62">
    <cfRule type="containsText" dxfId="624" priority="112" operator="containsText" text="Select">
      <formula>NOT(ISERROR(SEARCH("Select",D62)))</formula>
    </cfRule>
  </conditionalFormatting>
  <conditionalFormatting sqref="D66">
    <cfRule type="containsText" dxfId="623" priority="111" operator="containsText" text="Explain here">
      <formula>NOT(ISERROR(SEARCH("Explain here",D66)))</formula>
    </cfRule>
  </conditionalFormatting>
  <conditionalFormatting sqref="D70">
    <cfRule type="containsText" dxfId="622" priority="110" operator="containsText" text="Select">
      <formula>NOT(ISERROR(SEARCH("Select",D70)))</formula>
    </cfRule>
  </conditionalFormatting>
  <conditionalFormatting sqref="F70:F77">
    <cfRule type="containsText" dxfId="621" priority="106" operator="containsText" text="Please select">
      <formula>NOT(ISERROR(SEARCH("Please select",F70)))</formula>
    </cfRule>
  </conditionalFormatting>
  <conditionalFormatting sqref="D78">
    <cfRule type="containsText" dxfId="620" priority="105" operator="containsText" text="Explain here">
      <formula>NOT(ISERROR(SEARCH("Explain here",D78)))</formula>
    </cfRule>
  </conditionalFormatting>
  <conditionalFormatting sqref="D82">
    <cfRule type="containsText" dxfId="619" priority="104" operator="containsText" text="Specify here">
      <formula>NOT(ISERROR(SEARCH("Specify here",D82)))</formula>
    </cfRule>
  </conditionalFormatting>
  <conditionalFormatting sqref="B92 B97 B94:B95 B99 B101">
    <cfRule type="containsText" dxfId="618" priority="103" operator="containsText" text="Specify data sources and references here">
      <formula>NOT(ISERROR(SEARCH("Specify data sources and references here",B92)))</formula>
    </cfRule>
  </conditionalFormatting>
  <conditionalFormatting sqref="D28">
    <cfRule type="containsText" dxfId="617" priority="102" operator="containsText" text="Please select">
      <formula>NOT(ISERROR(SEARCH("Please select",D28)))</formula>
    </cfRule>
  </conditionalFormatting>
  <conditionalFormatting sqref="D28">
    <cfRule type="containsText" dxfId="616" priority="101" operator="containsText" text="Specify here">
      <formula>NOT(ISERROR(SEARCH("Specify here",D28)))</formula>
    </cfRule>
  </conditionalFormatting>
  <conditionalFormatting sqref="D27:D28">
    <cfRule type="containsText" dxfId="615" priority="100" operator="containsText" text="Specify here (if not specified, value will be 1)">
      <formula>NOT(ISERROR(SEARCH("Specify here (if not specified, value will be 1)",D27)))</formula>
    </cfRule>
  </conditionalFormatting>
  <conditionalFormatting sqref="D32">
    <cfRule type="containsText" dxfId="614" priority="99" operator="containsText" text="Please select">
      <formula>NOT(ISERROR(SEARCH("Please select",D32)))</formula>
    </cfRule>
  </conditionalFormatting>
  <conditionalFormatting sqref="D32">
    <cfRule type="containsText" dxfId="613" priority="98" operator="containsText" text="Specify here">
      <formula>NOT(ISERROR(SEARCH("Specify here",D32)))</formula>
    </cfRule>
  </conditionalFormatting>
  <conditionalFormatting sqref="H41:K41 H43:K43 G45:K45 J39:K39">
    <cfRule type="containsText" dxfId="612" priority="97" operator="containsText" text="Reference">
      <formula>NOT(ISERROR(SEARCH("Reference",G39)))</formula>
    </cfRule>
  </conditionalFormatting>
  <conditionalFormatting sqref="L41:P41 L43:P43 L45:P45 L39:P39">
    <cfRule type="containsText" dxfId="611" priority="96" operator="containsText" text="Reference">
      <formula>NOT(ISERROR(SEARCH("Reference",L39)))</formula>
    </cfRule>
  </conditionalFormatting>
  <conditionalFormatting sqref="Q41:U41 Q43:U43 Q45:U45 Q39:U39">
    <cfRule type="containsText" dxfId="610" priority="95" operator="containsText" text="Reference">
      <formula>NOT(ISERROR(SEARCH("Reference",Q39)))</formula>
    </cfRule>
  </conditionalFormatting>
  <conditionalFormatting sqref="E38">
    <cfRule type="containsText" dxfId="609" priority="94" operator="containsText" text="Please select 'Functional Unit' above">
      <formula>NOT(ISERROR(SEARCH("Please select 'Functional Unit' above",E38)))</formula>
    </cfRule>
  </conditionalFormatting>
  <conditionalFormatting sqref="H53:K53 H55:K55 H57:K57 H51:K51">
    <cfRule type="containsText" dxfId="608" priority="93" operator="containsText" text="Reference">
      <formula>NOT(ISERROR(SEARCH("Reference",H51)))</formula>
    </cfRule>
  </conditionalFormatting>
  <conditionalFormatting sqref="M53:P53 M55:P55 M57:P57 M51:P51">
    <cfRule type="containsText" dxfId="607" priority="92" operator="containsText" text="Reference">
      <formula>NOT(ISERROR(SEARCH("Reference",M51)))</formula>
    </cfRule>
  </conditionalFormatting>
  <conditionalFormatting sqref="R53:U53 R55:U55 R57:U57 R51:U51">
    <cfRule type="containsText" dxfId="606" priority="91" operator="containsText" text="Reference">
      <formula>NOT(ISERROR(SEARCH("Reference",R51)))</formula>
    </cfRule>
  </conditionalFormatting>
  <conditionalFormatting sqref="H73:K73 H75:K75 H77:K77 H71:K71">
    <cfRule type="containsText" dxfId="605" priority="90" operator="containsText" text="Reference">
      <formula>NOT(ISERROR(SEARCH("Reference",H71)))</formula>
    </cfRule>
  </conditionalFormatting>
  <conditionalFormatting sqref="M73:P73 M75:P75 M77:P77 M71:P71">
    <cfRule type="containsText" dxfId="604" priority="89" operator="containsText" text="Reference">
      <formula>NOT(ISERROR(SEARCH("Reference",M71)))</formula>
    </cfRule>
  </conditionalFormatting>
  <conditionalFormatting sqref="R73:U73 R75:U75 R77:U77 R71:U71">
    <cfRule type="containsText" dxfId="603" priority="88" operator="containsText" text="Reference">
      <formula>NOT(ISERROR(SEARCH("Reference",R71)))</formula>
    </cfRule>
  </conditionalFormatting>
  <conditionalFormatting sqref="G65:K65 H63:K63">
    <cfRule type="containsText" dxfId="602" priority="87" operator="containsText" text="Reference">
      <formula>NOT(ISERROR(SEARCH("Reference",G63)))</formula>
    </cfRule>
  </conditionalFormatting>
  <conditionalFormatting sqref="L65:P65 M63:P63">
    <cfRule type="containsText" dxfId="601" priority="86" operator="containsText" text="Reference">
      <formula>NOT(ISERROR(SEARCH("Reference",L63)))</formula>
    </cfRule>
  </conditionalFormatting>
  <conditionalFormatting sqref="Q65:U65 R63:U63">
    <cfRule type="containsText" dxfId="600" priority="85" operator="containsText" text="Reference">
      <formula>NOT(ISERROR(SEARCH("Reference",Q63)))</formula>
    </cfRule>
  </conditionalFormatting>
  <conditionalFormatting sqref="H83:K83">
    <cfRule type="containsText" dxfId="599" priority="84" operator="containsText" text="Reference">
      <formula>NOT(ISERROR(SEARCH("Reference",H83)))</formula>
    </cfRule>
  </conditionalFormatting>
  <conditionalFormatting sqref="M83:P83">
    <cfRule type="containsText" dxfId="598" priority="83" operator="containsText" text="Reference">
      <formula>NOT(ISERROR(SEARCH("Reference",M83)))</formula>
    </cfRule>
  </conditionalFormatting>
  <conditionalFormatting sqref="R83:U83">
    <cfRule type="containsText" dxfId="597" priority="82" operator="containsText" text="Reference">
      <formula>NOT(ISERROR(SEARCH("Reference",R83)))</formula>
    </cfRule>
  </conditionalFormatting>
  <conditionalFormatting sqref="D5">
    <cfRule type="containsText" dxfId="596" priority="81" operator="containsText" text="Please select">
      <formula>NOT(ISERROR(SEARCH("Please select",D5)))</formula>
    </cfRule>
  </conditionalFormatting>
  <conditionalFormatting sqref="D5">
    <cfRule type="containsText" dxfId="595" priority="80" operator="containsText" text="Specify here">
      <formula>NOT(ISERROR(SEARCH("Specify here",D5)))</formula>
    </cfRule>
  </conditionalFormatting>
  <conditionalFormatting sqref="D11">
    <cfRule type="containsText" dxfId="594" priority="79" operator="containsText" text="Please select">
      <formula>NOT(ISERROR(SEARCH("Please select",D11)))</formula>
    </cfRule>
  </conditionalFormatting>
  <conditionalFormatting sqref="D16">
    <cfRule type="containsText" dxfId="593" priority="77" operator="containsText" text="Please select">
      <formula>NOT(ISERROR(SEARCH("Please select",D16)))</formula>
    </cfRule>
    <cfRule type="containsText" dxfId="592" priority="78" operator="containsText" text="Please select 'Functional Unit' above">
      <formula>NOT(ISERROR(SEARCH("Please select 'Functional Unit' above",D16)))</formula>
    </cfRule>
  </conditionalFormatting>
  <conditionalFormatting sqref="D29">
    <cfRule type="containsText" dxfId="591" priority="76" operator="containsText" text="Please select">
      <formula>NOT(ISERROR(SEARCH("Please select",D29)))</formula>
    </cfRule>
  </conditionalFormatting>
  <conditionalFormatting sqref="E40 E42 E44">
    <cfRule type="containsText" dxfId="590" priority="75" operator="containsText" text="Please select 'Functional Unit' above">
      <formula>NOT(ISERROR(SEARCH("Please select 'Functional Unit' above",E40)))</formula>
    </cfRule>
  </conditionalFormatting>
  <conditionalFormatting sqref="G53 G55 G57 G51">
    <cfRule type="containsText" dxfId="589" priority="74" operator="containsText" text="Reference">
      <formula>NOT(ISERROR(SEARCH("Reference",G51)))</formula>
    </cfRule>
  </conditionalFormatting>
  <conditionalFormatting sqref="L55 L57">
    <cfRule type="containsText" dxfId="588" priority="73" operator="containsText" text="Reference">
      <formula>NOT(ISERROR(SEARCH("Reference",L55)))</formula>
    </cfRule>
  </conditionalFormatting>
  <conditionalFormatting sqref="Q55 Q57">
    <cfRule type="containsText" dxfId="587" priority="72" operator="containsText" text="Reference">
      <formula>NOT(ISERROR(SEARCH("Reference",Q55)))</formula>
    </cfRule>
  </conditionalFormatting>
  <conditionalFormatting sqref="D64">
    <cfRule type="containsText" dxfId="586" priority="71" operator="containsText" text="Select">
      <formula>NOT(ISERROR(SEARCH("Select",D64)))</formula>
    </cfRule>
  </conditionalFormatting>
  <conditionalFormatting sqref="D62:F65">
    <cfRule type="containsText" dxfId="585" priority="70" operator="containsText" text="Specify here">
      <formula>NOT(ISERROR(SEARCH("Specify here",D62)))</formula>
    </cfRule>
  </conditionalFormatting>
  <conditionalFormatting sqref="G63">
    <cfRule type="containsText" dxfId="584" priority="69" operator="containsText" text="Reference">
      <formula>NOT(ISERROR(SEARCH("Reference",G63)))</formula>
    </cfRule>
  </conditionalFormatting>
  <conditionalFormatting sqref="L63">
    <cfRule type="containsText" dxfId="583" priority="68" operator="containsText" text="Reference">
      <formula>NOT(ISERROR(SEARCH("Reference",L63)))</formula>
    </cfRule>
  </conditionalFormatting>
  <conditionalFormatting sqref="Q63">
    <cfRule type="containsText" dxfId="582" priority="67" operator="containsText" text="Reference">
      <formula>NOT(ISERROR(SEARCH("Reference",Q63)))</formula>
    </cfRule>
  </conditionalFormatting>
  <conditionalFormatting sqref="G73 G75 G77 G71">
    <cfRule type="containsText" dxfId="581" priority="66" operator="containsText" text="Reference">
      <formula>NOT(ISERROR(SEARCH("Reference",G71)))</formula>
    </cfRule>
  </conditionalFormatting>
  <conditionalFormatting sqref="L73 L75 L77 L71">
    <cfRule type="containsText" dxfId="580" priority="65" operator="containsText" text="Reference">
      <formula>NOT(ISERROR(SEARCH("Reference",L71)))</formula>
    </cfRule>
  </conditionalFormatting>
  <conditionalFormatting sqref="Q73 Q75 Q77 Q71">
    <cfRule type="containsText" dxfId="579" priority="64" operator="containsText" text="Reference">
      <formula>NOT(ISERROR(SEARCH("Reference",Q71)))</formula>
    </cfRule>
  </conditionalFormatting>
  <conditionalFormatting sqref="B93 B96 B98 B100">
    <cfRule type="containsText" dxfId="578" priority="63" operator="containsText" text="Specify data sources and references here">
      <formula>NOT(ISERROR(SEARCH("Specify data sources and references here",B93)))</formula>
    </cfRule>
  </conditionalFormatting>
  <conditionalFormatting sqref="C102:U104">
    <cfRule type="containsText" dxfId="577" priority="62" operator="containsText" text="Add other sources here">
      <formula>NOT(ISERROR(SEARCH("Add other sources here",C102)))</formula>
    </cfRule>
  </conditionalFormatting>
  <conditionalFormatting sqref="D22">
    <cfRule type="containsText" dxfId="576" priority="61" operator="containsText" text="Please select the region">
      <formula>NOT(ISERROR(SEARCH("Please select the region",D22)))</formula>
    </cfRule>
  </conditionalFormatting>
  <conditionalFormatting sqref="D25">
    <cfRule type="containsText" dxfId="575" priority="60" operator="containsText" text="Specify here the market">
      <formula>NOT(ISERROR(SEARCH("Specify here the market",D25)))</formula>
    </cfRule>
  </conditionalFormatting>
  <conditionalFormatting sqref="H20:K20">
    <cfRule type="containsText" dxfId="574" priority="59" operator="containsText" text="Reference">
      <formula>NOT(ISERROR(SEARCH("Reference",H20)))</formula>
    </cfRule>
  </conditionalFormatting>
  <conditionalFormatting sqref="G24:K24">
    <cfRule type="containsText" dxfId="573" priority="58" operator="containsText" text="Reference">
      <formula>NOT(ISERROR(SEARCH("Reference",G24)))</formula>
    </cfRule>
  </conditionalFormatting>
  <conditionalFormatting sqref="G26:K26">
    <cfRule type="containsText" dxfId="572" priority="57" operator="containsText" text="Reference">
      <formula>NOT(ISERROR(SEARCH("Reference",G26)))</formula>
    </cfRule>
  </conditionalFormatting>
  <conditionalFormatting sqref="J39:U39 H41:U41 H43:U43 G45:U45 G51:K51 G53:K53 G55:U55 G57:U57 G63:U63 G65:U65 G71:U71 G73:U73 G75:U75 G77:U77 H83:K83 M83:P83 R83:U83 M53:P53 M51:P51 R51:U51 R53:U53">
    <cfRule type="containsText" dxfId="571" priority="56" operator="containsText" text="Reference">
      <formula>NOT(ISERROR(SEARCH("Reference",G39)))</formula>
    </cfRule>
  </conditionalFormatting>
  <conditionalFormatting sqref="L26:P26 M24:P24">
    <cfRule type="containsText" dxfId="570" priority="55" operator="containsText" text="Reference">
      <formula>NOT(ISERROR(SEARCH("Reference",L24)))</formula>
    </cfRule>
  </conditionalFormatting>
  <conditionalFormatting sqref="R26:U26 R24:U24">
    <cfRule type="containsText" dxfId="569" priority="54" operator="containsText" text="Reference">
      <formula>NOT(ISERROR(SEARCH("Reference",R24)))</formula>
    </cfRule>
  </conditionalFormatting>
  <conditionalFormatting sqref="M24:P24 L26:P26 R26:U26 R24:U24">
    <cfRule type="containsText" dxfId="568" priority="53" operator="containsText" text="Reference">
      <formula>NOT(ISERROR(SEARCH("Reference",L24)))</formula>
    </cfRule>
  </conditionalFormatting>
  <conditionalFormatting sqref="D30">
    <cfRule type="containsText" dxfId="567" priority="52" operator="containsText" text="Please select">
      <formula>NOT(ISERROR(SEARCH("Please select",D30)))</formula>
    </cfRule>
  </conditionalFormatting>
  <conditionalFormatting sqref="D30">
    <cfRule type="containsText" dxfId="566" priority="51" operator="containsText" text="Specify here">
      <formula>NOT(ISERROR(SEARCH("Specify here",D30)))</formula>
    </cfRule>
  </conditionalFormatting>
  <conditionalFormatting sqref="H85:K85 M85:P85 R85:U85">
    <cfRule type="containsText" dxfId="565" priority="47" operator="containsText" text="Reference">
      <formula>NOT(ISERROR(SEARCH("Reference",H85)))</formula>
    </cfRule>
  </conditionalFormatting>
  <conditionalFormatting sqref="H87:K87 M87:P87 R87:U87">
    <cfRule type="containsText" dxfId="564" priority="43" operator="containsText" text="Reference">
      <formula>NOT(ISERROR(SEARCH("Reference",H87)))</formula>
    </cfRule>
  </conditionalFormatting>
  <conditionalFormatting sqref="H89:K89 M89:P89 R89:U89">
    <cfRule type="containsText" dxfId="563" priority="39" operator="containsText" text="Reference">
      <formula>NOT(ISERROR(SEARCH("Reference",H89)))</formula>
    </cfRule>
  </conditionalFormatting>
  <conditionalFormatting sqref="H85:K85">
    <cfRule type="containsText" dxfId="562" priority="50" operator="containsText" text="Reference">
      <formula>NOT(ISERROR(SEARCH("Reference",H85)))</formula>
    </cfRule>
  </conditionalFormatting>
  <conditionalFormatting sqref="M85:P85">
    <cfRule type="containsText" dxfId="561" priority="49" operator="containsText" text="Reference">
      <formula>NOT(ISERROR(SEARCH("Reference",M85)))</formula>
    </cfRule>
  </conditionalFormatting>
  <conditionalFormatting sqref="R85:U85">
    <cfRule type="containsText" dxfId="560" priority="48" operator="containsText" text="Reference">
      <formula>NOT(ISERROR(SEARCH("Reference",R85)))</formula>
    </cfRule>
  </conditionalFormatting>
  <conditionalFormatting sqref="H87:K87">
    <cfRule type="containsText" dxfId="559" priority="46" operator="containsText" text="Reference">
      <formula>NOT(ISERROR(SEARCH("Reference",H87)))</formula>
    </cfRule>
  </conditionalFormatting>
  <conditionalFormatting sqref="M87:P87">
    <cfRule type="containsText" dxfId="558" priority="45" operator="containsText" text="Reference">
      <formula>NOT(ISERROR(SEARCH("Reference",M87)))</formula>
    </cfRule>
  </conditionalFormatting>
  <conditionalFormatting sqref="R87:U87">
    <cfRule type="containsText" dxfId="557" priority="44" operator="containsText" text="Reference">
      <formula>NOT(ISERROR(SEARCH("Reference",R87)))</formula>
    </cfRule>
  </conditionalFormatting>
  <conditionalFormatting sqref="H89:K89">
    <cfRule type="containsText" dxfId="556" priority="42" operator="containsText" text="Reference">
      <formula>NOT(ISERROR(SEARCH("Reference",H89)))</formula>
    </cfRule>
  </conditionalFormatting>
  <conditionalFormatting sqref="M89:P89">
    <cfRule type="containsText" dxfId="555" priority="41" operator="containsText" text="Reference">
      <formula>NOT(ISERROR(SEARCH("Reference",M89)))</formula>
    </cfRule>
  </conditionalFormatting>
  <conditionalFormatting sqref="R89:U89">
    <cfRule type="containsText" dxfId="554" priority="40" operator="containsText" text="Reference">
      <formula>NOT(ISERROR(SEARCH("Reference",R89)))</formula>
    </cfRule>
  </conditionalFormatting>
  <conditionalFormatting sqref="B82">
    <cfRule type="containsText" dxfId="553" priority="38" operator="containsText" text="Add here">
      <formula>NOT(ISERROR(SEARCH("Add here",B82)))</formula>
    </cfRule>
  </conditionalFormatting>
  <conditionalFormatting sqref="B84">
    <cfRule type="containsText" dxfId="552" priority="37" operator="containsText" text="Add here">
      <formula>NOT(ISERROR(SEARCH("Add here",B84)))</formula>
    </cfRule>
  </conditionalFormatting>
  <conditionalFormatting sqref="B86">
    <cfRule type="containsText" dxfId="551" priority="36" operator="containsText" text="Add here">
      <formula>NOT(ISERROR(SEARCH("Add here",B86)))</formula>
    </cfRule>
  </conditionalFormatting>
  <conditionalFormatting sqref="B88">
    <cfRule type="containsText" dxfId="550" priority="35" operator="containsText" text="Add here">
      <formula>NOT(ISERROR(SEARCH("Add here",B88)))</formula>
    </cfRule>
  </conditionalFormatting>
  <conditionalFormatting sqref="G85 G87 G89 G83">
    <cfRule type="containsText" dxfId="549" priority="34" operator="containsText" text="Reference">
      <formula>NOT(ISERROR(SEARCH("Reference",G83)))</formula>
    </cfRule>
  </conditionalFormatting>
  <conditionalFormatting sqref="G83 G85 G87 G89">
    <cfRule type="containsText" dxfId="548" priority="33" operator="containsText" text="Reference">
      <formula>NOT(ISERROR(SEARCH("Reference",G83)))</formula>
    </cfRule>
  </conditionalFormatting>
  <conditionalFormatting sqref="L85 L87 L89 L83">
    <cfRule type="containsText" dxfId="547" priority="32" operator="containsText" text="Reference">
      <formula>NOT(ISERROR(SEARCH("Reference",L83)))</formula>
    </cfRule>
  </conditionalFormatting>
  <conditionalFormatting sqref="L83 L85 L87 L89">
    <cfRule type="containsText" dxfId="546" priority="31" operator="containsText" text="Reference">
      <formula>NOT(ISERROR(SEARCH("Reference",L83)))</formula>
    </cfRule>
  </conditionalFormatting>
  <conditionalFormatting sqref="Q85 Q87 Q89 Q83">
    <cfRule type="containsText" dxfId="545" priority="30" operator="containsText" text="Reference">
      <formula>NOT(ISERROR(SEARCH("Reference",Q83)))</formula>
    </cfRule>
  </conditionalFormatting>
  <conditionalFormatting sqref="Q83 Q85 Q87 Q89">
    <cfRule type="containsText" dxfId="544" priority="29" operator="containsText" text="Reference">
      <formula>NOT(ISERROR(SEARCH("Reference",Q83)))</formula>
    </cfRule>
  </conditionalFormatting>
  <conditionalFormatting sqref="D90">
    <cfRule type="containsText" dxfId="543" priority="28" operator="containsText" text="Explain here">
      <formula>NOT(ISERROR(SEARCH("Explain here",D90)))</formula>
    </cfRule>
  </conditionalFormatting>
  <conditionalFormatting sqref="D84">
    <cfRule type="containsText" dxfId="542" priority="27" operator="containsText" text="Specify here">
      <formula>NOT(ISERROR(SEARCH("Specify here",D84)))</formula>
    </cfRule>
  </conditionalFormatting>
  <conditionalFormatting sqref="D86">
    <cfRule type="containsText" dxfId="541" priority="26" operator="containsText" text="Specify here">
      <formula>NOT(ISERROR(SEARCH("Specify here",D86)))</formula>
    </cfRule>
  </conditionalFormatting>
  <conditionalFormatting sqref="D88">
    <cfRule type="containsText" dxfId="540" priority="25" operator="containsText" text="Specify here">
      <formula>NOT(ISERROR(SEARCH("Specify here",D88)))</formula>
    </cfRule>
  </conditionalFormatting>
  <conditionalFormatting sqref="E42:F43">
    <cfRule type="containsText" dxfId="539" priority="24" operator="containsText" text="Please select">
      <formula>NOT(ISERROR(SEARCH("Please select",E42)))</formula>
    </cfRule>
  </conditionalFormatting>
  <conditionalFormatting sqref="F22">
    <cfRule type="containsText" dxfId="538" priority="23" operator="containsText" text="Please select">
      <formula>NOT(ISERROR(SEARCH("Please select",F22)))</formula>
    </cfRule>
  </conditionalFormatting>
  <conditionalFormatting sqref="F25">
    <cfRule type="containsText" dxfId="537" priority="22" operator="containsText" text="Select Functional Unit above">
      <formula>NOT(ISERROR(SEARCH("Select Functional Unit above",F25)))</formula>
    </cfRule>
  </conditionalFormatting>
  <conditionalFormatting sqref="E44:F45">
    <cfRule type="cellIs" dxfId="536" priority="21" operator="equal">
      <formula>"Please select based on chosen Functional Unit"</formula>
    </cfRule>
  </conditionalFormatting>
  <conditionalFormatting sqref="D7">
    <cfRule type="containsText" dxfId="535" priority="20" operator="containsText" text="Please select">
      <formula>NOT(ISERROR(SEARCH("Please select",D7)))</formula>
    </cfRule>
  </conditionalFormatting>
  <conditionalFormatting sqref="D7">
    <cfRule type="containsText" dxfId="534" priority="19" operator="containsText" text="Specify here">
      <formula>NOT(ISERROR(SEARCH("Specify here",D7)))</formula>
    </cfRule>
  </conditionalFormatting>
  <conditionalFormatting sqref="G20">
    <cfRule type="containsText" dxfId="533" priority="18" operator="containsText" text="Reference">
      <formula>NOT(ISERROR(SEARCH("Reference",G20)))</formula>
    </cfRule>
  </conditionalFormatting>
  <conditionalFormatting sqref="L24">
    <cfRule type="containsText" dxfId="532" priority="17" operator="containsText" text="Reference">
      <formula>NOT(ISERROR(SEARCH("Reference",L24)))</formula>
    </cfRule>
  </conditionalFormatting>
  <conditionalFormatting sqref="L24">
    <cfRule type="containsText" dxfId="531" priority="16" operator="containsText" text="Reference">
      <formula>NOT(ISERROR(SEARCH("Reference",L24)))</formula>
    </cfRule>
  </conditionalFormatting>
  <conditionalFormatting sqref="Q26 Q24">
    <cfRule type="containsText" dxfId="530" priority="15" operator="containsText" text="Reference">
      <formula>NOT(ISERROR(SEARCH("Reference",Q24)))</formula>
    </cfRule>
  </conditionalFormatting>
  <conditionalFormatting sqref="Q24 Q26">
    <cfRule type="containsText" dxfId="529" priority="14" operator="containsText" text="Reference">
      <formula>NOT(ISERROR(SEARCH("Reference",Q24)))</formula>
    </cfRule>
  </conditionalFormatting>
  <conditionalFormatting sqref="Q26">
    <cfRule type="containsText" dxfId="528" priority="13" operator="containsText" text="Reference">
      <formula>NOT(ISERROR(SEARCH("Reference",Q26)))</formula>
    </cfRule>
  </conditionalFormatting>
  <conditionalFormatting sqref="G41 G39 G43:I43">
    <cfRule type="containsText" dxfId="527" priority="12" operator="containsText" text="Reference">
      <formula>NOT(ISERROR(SEARCH("Reference",G39)))</formula>
    </cfRule>
  </conditionalFormatting>
  <conditionalFormatting sqref="G39 G41 G43:I43">
    <cfRule type="containsText" dxfId="526" priority="11" operator="containsText" text="Reference">
      <formula>NOT(ISERROR(SEARCH("Reference",G39)))</formula>
    </cfRule>
  </conditionalFormatting>
  <conditionalFormatting sqref="L53 L51">
    <cfRule type="containsText" dxfId="525" priority="10" operator="containsText" text="Reference">
      <formula>NOT(ISERROR(SEARCH("Reference",L51)))</formula>
    </cfRule>
  </conditionalFormatting>
  <conditionalFormatting sqref="L51 L53">
    <cfRule type="containsText" dxfId="524" priority="9" operator="containsText" text="Reference">
      <formula>NOT(ISERROR(SEARCH("Reference",L51)))</formula>
    </cfRule>
  </conditionalFormatting>
  <conditionalFormatting sqref="Q53 Q51">
    <cfRule type="containsText" dxfId="523" priority="8" operator="containsText" text="Reference">
      <formula>NOT(ISERROR(SEARCH("Reference",Q51)))</formula>
    </cfRule>
  </conditionalFormatting>
  <conditionalFormatting sqref="Q51 Q53">
    <cfRule type="containsText" dxfId="522" priority="7" operator="containsText" text="Reference">
      <formula>NOT(ISERROR(SEARCH("Reference",Q51)))</formula>
    </cfRule>
  </conditionalFormatting>
  <conditionalFormatting sqref="C92:U92">
    <cfRule type="containsText" dxfId="521" priority="6" operator="containsText" text="Specify complete references and data sources used here">
      <formula>NOT(ISERROR(SEARCH("Specify complete references and data sources used here",C92)))</formula>
    </cfRule>
  </conditionalFormatting>
  <conditionalFormatting sqref="H39:I39">
    <cfRule type="containsText" dxfId="520" priority="5" operator="containsText" text="Reference">
      <formula>NOT(ISERROR(SEARCH("Reference",H39)))</formula>
    </cfRule>
  </conditionalFormatting>
  <conditionalFormatting sqref="H39:I39">
    <cfRule type="containsText" dxfId="519" priority="4" operator="containsText" text="Reference">
      <formula>NOT(ISERROR(SEARCH("Reference",H39)))</formula>
    </cfRule>
  </conditionalFormatting>
  <conditionalFormatting sqref="O11">
    <cfRule type="containsText" dxfId="518" priority="3" operator="containsText" text="Specify here">
      <formula>NOT(ISERROR(SEARCH("Specify here",O11)))</formula>
    </cfRule>
  </conditionalFormatting>
  <conditionalFormatting sqref="O12">
    <cfRule type="containsText" dxfId="517" priority="2" operator="containsText" text="Specify here">
      <formula>NOT(ISERROR(SEARCH("Specify here",O12)))</formula>
    </cfRule>
  </conditionalFormatting>
  <conditionalFormatting sqref="O7">
    <cfRule type="containsText" dxfId="516" priority="1" operator="containsText" text="DD-MM-YYYY">
      <formula>NOT(ISERROR(SEARCH("DD-MM-YYYY",O7)))</formula>
    </cfRule>
  </conditionalFormatting>
  <dataValidations count="2">
    <dataValidation type="list" allowBlank="1" showInputMessage="1" showErrorMessage="1" sqref="L33:O33" xr:uid="{749F7345-90E9-477D-A06B-55D5BC9ABDA3}">
      <formula1>$X$6:$X$9</formula1>
    </dataValidation>
    <dataValidation allowBlank="1" showInputMessage="1" showErrorMessage="1" prompt="More details are found in 'READ ME' tab" sqref="D14" xr:uid="{4832E63C-FAB3-4037-8F95-F4C03D7658DB}"/>
  </dataValidations>
  <hyperlinks>
    <hyperlink ref="C94" r:id="rId1" xr:uid="{E5EA9291-9F9A-47D8-85FB-2E0A48A33E7C}"/>
  </hyperlinks>
  <pageMargins left="0.7" right="0.7" top="0.75" bottom="0.75" header="0.3" footer="0.3"/>
  <pageSetup paperSize="9" scale="19" orientation="landscape"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36DA1C99-084A-41FD-86EE-D4302F53F607}">
          <x14:formula1>
            <xm:f>List!$L$3:$L$67</xm:f>
          </x14:formula1>
          <xm:sqref>D52:E57</xm:sqref>
        </x14:dataValidation>
        <x14:dataValidation type="list" allowBlank="1" showInputMessage="1" showErrorMessage="1" xr:uid="{8F9528CF-E4AC-4087-9F82-4FC1B393E940}">
          <x14:formula1>
            <xm:f>List!$L$2:$L$74</xm:f>
          </x14:formula1>
          <xm:sqref>D50:E51</xm:sqref>
        </x14:dataValidation>
        <x14:dataValidation type="list" allowBlank="1" showInputMessage="1" showErrorMessage="1" xr:uid="{DE942562-A835-4CD8-896F-72217D6D43FD}">
          <x14:formula1>
            <xm:f>List!$Z$15:$Z$16</xm:f>
          </x14:formula1>
          <xm:sqref>D38:D45</xm:sqref>
        </x14:dataValidation>
        <x14:dataValidation type="list" allowBlank="1" showInputMessage="1" showErrorMessage="1" xr:uid="{D8DFBAED-37C1-43F1-8365-078DDBF597BF}">
          <x14:formula1>
            <xm:f>List!$J$3:$J$6</xm:f>
          </x14:formula1>
          <xm:sqref>E44:F45</xm:sqref>
        </x14:dataValidation>
        <x14:dataValidation type="list" allowBlank="1" showInputMessage="1" showErrorMessage="1" xr:uid="{AAD6E930-A49C-41F1-96BC-80681A16147F}">
          <x14:formula1>
            <xm:f>List!$B$3:$B$27</xm:f>
          </x14:formula1>
          <xm:sqref>D8:K8</xm:sqref>
        </x14:dataValidation>
        <x14:dataValidation type="list" allowBlank="1" showInputMessage="1" showErrorMessage="1" xr:uid="{C765A9C6-9203-4C48-BDD5-8B40787EFBAB}">
          <x14:formula1>
            <xm:f>List!$Z$10:$Z$13</xm:f>
          </x14:formula1>
          <xm:sqref>D22:E24</xm:sqref>
        </x14:dataValidation>
        <x14:dataValidation type="list" allowBlank="1" showInputMessage="1" showErrorMessage="1" xr:uid="{DAA9381D-5658-4B6E-B83A-48A0FB3F7D5E}">
          <x14:formula1>
            <xm:f>List!$R$3:$R$13</xm:f>
          </x14:formula1>
          <xm:sqref>D70:E77</xm:sqref>
        </x14:dataValidation>
        <x14:dataValidation type="list" allowBlank="1" showInputMessage="1" showErrorMessage="1" xr:uid="{A3E8046F-E5DE-4808-AF73-4AB054035E88}">
          <x14:formula1>
            <xm:f>List!$Z$2:$Z$4</xm:f>
          </x14:formula1>
          <xm:sqref>D10:K10</xm:sqref>
        </x14:dataValidation>
        <x14:dataValidation type="list" allowBlank="1" showInputMessage="1" showErrorMessage="1" xr:uid="{C31234B1-E376-4A40-90C6-AB74ED90B3C0}">
          <x14:formula1>
            <xm:f>List!$F$3:$F$18</xm:f>
          </x14:formula1>
          <xm:sqref>D16:K17 F22</xm:sqref>
        </x14:dataValidation>
        <x14:dataValidation type="list" allowBlank="1" showInputMessage="1" showErrorMessage="1" xr:uid="{17B28A08-9EF1-4A10-A4B0-B9A20C2BB6F9}">
          <x14:formula1>
            <xm:f>List!$H$3:$H$10</xm:f>
          </x14:formula1>
          <xm:sqref>D29</xm:sqref>
        </x14:dataValidation>
        <x14:dataValidation type="list" allowBlank="1" showInputMessage="1" showErrorMessage="1" xr:uid="{811F5791-F715-4775-8171-6CB99B0B9EFB}">
          <x14:formula1>
            <xm:f>List!$T$3:$T$6</xm:f>
          </x14:formula1>
          <xm:sqref>F70:F77</xm:sqref>
        </x14:dataValidation>
        <x14:dataValidation type="list" allowBlank="1" showInputMessage="1" showErrorMessage="1" xr:uid="{DA41C199-1502-440A-8DE5-0D50668943F6}">
          <x14:formula1>
            <xm:f>List!$D$3:$D$17</xm:f>
          </x14:formula1>
          <xm:sqref>D11</xm:sqref>
        </x14:dataValidation>
        <x14:dataValidation type="list" allowBlank="1" showInputMessage="1" showErrorMessage="1" xr:uid="{45BF2314-255F-486E-A4CE-0F636D5D1C9E}">
          <x14:formula1>
            <xm:f>List!$Z$6:$Z$8</xm:f>
          </x14:formula1>
          <xm:sqref>D33</xm:sqref>
        </x14:dataValidation>
        <x14:dataValidation type="list" allowBlank="1" showInputMessage="1" showErrorMessage="1" prompt="More details are found in 'READ ME' tab" xr:uid="{F0B70983-AAE1-44FD-BADA-447F5447AE68}">
          <x14:formula1>
            <xm:f>'READ ME'!$C$26:$C$34</xm:f>
          </x14:formula1>
          <xm:sqref>D13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51CE-F17A-4D95-91DF-B00471F7DEE5}">
  <dimension ref="A1:C16"/>
  <sheetViews>
    <sheetView workbookViewId="0">
      <selection activeCell="D28" sqref="D28:K28"/>
    </sheetView>
  </sheetViews>
  <sheetFormatPr defaultRowHeight="15.75" x14ac:dyDescent="0.25"/>
  <cols>
    <col min="1" max="1" width="23.5" customWidth="1"/>
    <col min="2" max="2" width="21.75" customWidth="1"/>
    <col min="3" max="3" width="76.5" customWidth="1"/>
  </cols>
  <sheetData>
    <row r="1" spans="1:3" x14ac:dyDescent="0.25">
      <c r="A1" t="s">
        <v>481</v>
      </c>
      <c r="B1" t="s">
        <v>482</v>
      </c>
      <c r="C1" s="213">
        <v>44942</v>
      </c>
    </row>
    <row r="3" spans="1:3" x14ac:dyDescent="0.25">
      <c r="A3" s="214" t="s">
        <v>483</v>
      </c>
      <c r="B3" s="214" t="s">
        <v>484</v>
      </c>
      <c r="C3" s="214" t="s">
        <v>485</v>
      </c>
    </row>
    <row r="4" spans="1:3" x14ac:dyDescent="0.25">
      <c r="A4" s="215" t="s">
        <v>486</v>
      </c>
      <c r="B4" s="215" t="s">
        <v>487</v>
      </c>
      <c r="C4" s="215" t="s">
        <v>488</v>
      </c>
    </row>
    <row r="5" spans="1:3" x14ac:dyDescent="0.25">
      <c r="B5" s="216" t="s">
        <v>503</v>
      </c>
      <c r="C5" t="s">
        <v>504</v>
      </c>
    </row>
    <row r="6" spans="1:3" x14ac:dyDescent="0.25">
      <c r="B6" s="216" t="s">
        <v>505</v>
      </c>
      <c r="C6" t="s">
        <v>506</v>
      </c>
    </row>
    <row r="7" spans="1:3" x14ac:dyDescent="0.25">
      <c r="B7" s="216" t="s">
        <v>507</v>
      </c>
      <c r="C7" t="s">
        <v>511</v>
      </c>
    </row>
    <row r="8" spans="1:3" x14ac:dyDescent="0.25">
      <c r="A8" t="s">
        <v>489</v>
      </c>
      <c r="B8" t="s">
        <v>490</v>
      </c>
      <c r="C8" s="130" t="s">
        <v>491</v>
      </c>
    </row>
    <row r="9" spans="1:3" x14ac:dyDescent="0.25">
      <c r="B9" t="s">
        <v>492</v>
      </c>
      <c r="C9" s="130" t="s">
        <v>493</v>
      </c>
    </row>
    <row r="10" spans="1:3" x14ac:dyDescent="0.25">
      <c r="B10" t="s">
        <v>494</v>
      </c>
      <c r="C10" s="130" t="s">
        <v>493</v>
      </c>
    </row>
    <row r="11" spans="1:3" x14ac:dyDescent="0.25">
      <c r="B11" t="s">
        <v>495</v>
      </c>
      <c r="C11" s="130" t="s">
        <v>496</v>
      </c>
    </row>
    <row r="12" spans="1:3" x14ac:dyDescent="0.25">
      <c r="B12" t="s">
        <v>510</v>
      </c>
      <c r="C12" s="130" t="s">
        <v>497</v>
      </c>
    </row>
    <row r="13" spans="1:3" x14ac:dyDescent="0.25">
      <c r="B13" t="s">
        <v>498</v>
      </c>
      <c r="C13" s="130" t="s">
        <v>499</v>
      </c>
    </row>
    <row r="14" spans="1:3" x14ac:dyDescent="0.25">
      <c r="B14" t="s">
        <v>508</v>
      </c>
      <c r="C14" s="130" t="s">
        <v>509</v>
      </c>
    </row>
    <row r="15" spans="1:3" x14ac:dyDescent="0.25">
      <c r="A15" t="s">
        <v>500</v>
      </c>
      <c r="B15" t="s">
        <v>501</v>
      </c>
      <c r="C15" s="130" t="s">
        <v>502</v>
      </c>
    </row>
    <row r="16" spans="1:3" x14ac:dyDescent="0.25">
      <c r="C16" s="130"/>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BA104"/>
  <sheetViews>
    <sheetView topLeftCell="A31" zoomScale="90" zoomScaleNormal="90" workbookViewId="0">
      <selection activeCell="D28" sqref="D28:K28"/>
    </sheetView>
  </sheetViews>
  <sheetFormatPr defaultColWidth="11" defaultRowHeight="15" x14ac:dyDescent="0.25"/>
  <cols>
    <col min="1" max="1" width="4.5" style="72" customWidth="1"/>
    <col min="2" max="2" width="11" style="72"/>
    <col min="3" max="3" width="27.625" style="72" customWidth="1"/>
    <col min="4" max="5" width="16.75" style="72" customWidth="1"/>
    <col min="6" max="21" width="12.5" style="72" customWidth="1"/>
    <col min="22" max="51" width="11" style="72"/>
    <col min="52" max="52" width="101.375" style="107" hidden="1" customWidth="1"/>
    <col min="53" max="53" width="182" style="107" hidden="1" customWidth="1"/>
    <col min="54" max="16384" width="11" style="72"/>
  </cols>
  <sheetData>
    <row r="1" spans="1:52" ht="21" x14ac:dyDescent="0.35">
      <c r="A1" s="3" t="s">
        <v>294</v>
      </c>
      <c r="B1" s="154"/>
      <c r="C1" s="154"/>
      <c r="D1" s="100"/>
      <c r="E1" s="154"/>
      <c r="F1" s="154"/>
      <c r="G1" s="154"/>
      <c r="H1" s="154"/>
      <c r="I1" s="154"/>
      <c r="J1" s="154"/>
      <c r="K1" s="154"/>
      <c r="L1" s="154"/>
      <c r="M1" s="154"/>
      <c r="N1" s="154"/>
      <c r="O1" s="154"/>
      <c r="P1" s="154"/>
      <c r="Q1" s="154"/>
      <c r="R1" s="154"/>
      <c r="S1" s="154"/>
      <c r="T1" s="154"/>
      <c r="U1" s="154"/>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row>
    <row r="2" spans="1:52" x14ac:dyDescent="0.25">
      <c r="A2" s="100" t="s">
        <v>295</v>
      </c>
      <c r="B2" s="154"/>
      <c r="C2" s="154"/>
      <c r="D2" s="100"/>
      <c r="E2" s="154"/>
      <c r="F2" s="154"/>
      <c r="G2" s="154"/>
      <c r="H2" s="154"/>
      <c r="I2" s="154"/>
      <c r="J2" s="154"/>
      <c r="K2" s="154"/>
      <c r="L2" s="154"/>
      <c r="M2" s="154"/>
      <c r="N2" s="154"/>
      <c r="O2" s="154"/>
      <c r="P2" s="154"/>
      <c r="Q2" s="154"/>
      <c r="R2" s="154"/>
      <c r="S2" s="154"/>
      <c r="T2" s="154"/>
      <c r="U2" s="154"/>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row>
    <row r="3" spans="1:52" x14ac:dyDescent="0.25">
      <c r="A3" s="154"/>
      <c r="B3" s="154"/>
      <c r="C3" s="154"/>
      <c r="D3" s="154"/>
      <c r="E3" s="154"/>
      <c r="F3" s="154"/>
      <c r="G3" s="154"/>
      <c r="H3" s="154"/>
      <c r="I3" s="154"/>
      <c r="J3" s="154"/>
      <c r="K3" s="154"/>
      <c r="L3" s="154"/>
      <c r="M3" s="154"/>
      <c r="N3" s="154"/>
      <c r="O3" s="154"/>
      <c r="P3" s="154"/>
      <c r="Q3" s="154"/>
      <c r="R3" s="154"/>
      <c r="S3" s="154"/>
      <c r="T3" s="154"/>
      <c r="U3" s="154"/>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row>
    <row r="4" spans="1:52" ht="21" customHeight="1" x14ac:dyDescent="0.25">
      <c r="A4" s="154"/>
      <c r="B4" s="256" t="s">
        <v>296</v>
      </c>
      <c r="C4" s="257"/>
      <c r="D4" s="257"/>
      <c r="E4" s="257"/>
      <c r="F4" s="257"/>
      <c r="G4" s="257"/>
      <c r="H4" s="257"/>
      <c r="I4" s="257"/>
      <c r="J4" s="257"/>
      <c r="K4" s="258"/>
      <c r="L4" s="76"/>
      <c r="M4" s="76"/>
      <c r="N4" s="76"/>
      <c r="O4" s="76"/>
      <c r="P4" s="154"/>
      <c r="Q4" s="154"/>
      <c r="R4" s="154"/>
      <c r="S4" s="154"/>
      <c r="T4" s="154"/>
      <c r="U4" s="154"/>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row>
    <row r="5" spans="1:52" ht="15.75" customHeight="1" x14ac:dyDescent="0.25">
      <c r="A5" s="154"/>
      <c r="B5" s="259" t="s">
        <v>297</v>
      </c>
      <c r="C5" s="259"/>
      <c r="D5" s="260" t="s">
        <v>298</v>
      </c>
      <c r="E5" s="261"/>
      <c r="F5" s="261"/>
      <c r="G5" s="261"/>
      <c r="H5" s="261"/>
      <c r="I5" s="261"/>
      <c r="J5" s="261"/>
      <c r="K5" s="262"/>
      <c r="L5" s="77"/>
      <c r="M5" s="77"/>
      <c r="N5" s="77"/>
      <c r="O5" s="77"/>
      <c r="P5" s="154"/>
      <c r="Q5" s="154"/>
      <c r="R5" s="154"/>
      <c r="S5" s="154"/>
      <c r="T5" s="154"/>
      <c r="U5" s="154"/>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row>
    <row r="6" spans="1:52" ht="15.75" customHeight="1" x14ac:dyDescent="0.25">
      <c r="A6" s="154"/>
      <c r="B6" s="259" t="s">
        <v>299</v>
      </c>
      <c r="C6" s="259"/>
      <c r="D6" s="263">
        <v>44403</v>
      </c>
      <c r="E6" s="264"/>
      <c r="F6" s="264"/>
      <c r="G6" s="264"/>
      <c r="H6" s="264"/>
      <c r="I6" s="264"/>
      <c r="J6" s="264"/>
      <c r="K6" s="265"/>
      <c r="L6" s="77"/>
      <c r="M6" s="77"/>
      <c r="N6" s="77"/>
      <c r="O6" s="77"/>
      <c r="P6" s="154"/>
      <c r="Q6" s="154"/>
      <c r="R6" s="154"/>
      <c r="S6" s="154"/>
      <c r="T6" s="154"/>
      <c r="U6" s="154"/>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row>
    <row r="7" spans="1:52" ht="15.75" customHeight="1" x14ac:dyDescent="0.25">
      <c r="A7" s="154"/>
      <c r="B7" s="266" t="s">
        <v>300</v>
      </c>
      <c r="C7" s="267"/>
      <c r="D7" s="260" t="s">
        <v>301</v>
      </c>
      <c r="E7" s="261"/>
      <c r="F7" s="261"/>
      <c r="G7" s="261"/>
      <c r="H7" s="261"/>
      <c r="I7" s="261"/>
      <c r="J7" s="261"/>
      <c r="K7" s="262"/>
      <c r="L7" s="77"/>
      <c r="M7" s="77"/>
      <c r="N7" s="77"/>
      <c r="O7" s="198"/>
      <c r="P7" s="199"/>
      <c r="Q7" s="199"/>
      <c r="R7" s="154"/>
      <c r="S7" s="154"/>
      <c r="T7" s="154"/>
      <c r="U7" s="154"/>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row>
    <row r="8" spans="1:52" x14ac:dyDescent="0.25">
      <c r="A8" s="154"/>
      <c r="B8" s="277" t="s">
        <v>18</v>
      </c>
      <c r="C8" s="278"/>
      <c r="D8" s="249" t="s">
        <v>170</v>
      </c>
      <c r="E8" s="250"/>
      <c r="F8" s="250"/>
      <c r="G8" s="250"/>
      <c r="H8" s="250"/>
      <c r="I8" s="250"/>
      <c r="J8" s="250"/>
      <c r="K8" s="251"/>
      <c r="L8" s="74"/>
      <c r="M8" s="74"/>
      <c r="N8" s="74"/>
      <c r="O8" s="248"/>
      <c r="P8" s="248"/>
      <c r="Q8" s="248"/>
      <c r="R8" s="154"/>
      <c r="S8" s="154"/>
      <c r="T8" s="154"/>
      <c r="U8" s="154"/>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row>
    <row r="9" spans="1:52" ht="15.75" customHeight="1" x14ac:dyDescent="0.25">
      <c r="A9" s="154"/>
      <c r="B9" s="279"/>
      <c r="C9" s="280"/>
      <c r="D9" s="249" t="s">
        <v>302</v>
      </c>
      <c r="E9" s="250"/>
      <c r="F9" s="250"/>
      <c r="G9" s="250"/>
      <c r="H9" s="250"/>
      <c r="I9" s="250"/>
      <c r="J9" s="250"/>
      <c r="K9" s="251"/>
      <c r="L9" s="74"/>
      <c r="M9" s="74"/>
      <c r="N9" s="74"/>
      <c r="O9" s="248"/>
      <c r="P9" s="248"/>
      <c r="Q9" s="248"/>
      <c r="R9" s="154"/>
      <c r="S9" s="154"/>
      <c r="T9" s="154"/>
      <c r="U9" s="154"/>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row>
    <row r="10" spans="1:52" ht="15.75" customHeight="1" x14ac:dyDescent="0.25">
      <c r="A10" s="154"/>
      <c r="B10" s="252" t="s">
        <v>22</v>
      </c>
      <c r="C10" s="252"/>
      <c r="D10" s="253" t="s">
        <v>176</v>
      </c>
      <c r="E10" s="254"/>
      <c r="F10" s="254"/>
      <c r="G10" s="254"/>
      <c r="H10" s="254"/>
      <c r="I10" s="254"/>
      <c r="J10" s="254"/>
      <c r="K10" s="255"/>
      <c r="L10" s="75"/>
      <c r="M10" s="75"/>
      <c r="N10" s="75"/>
      <c r="O10" s="248"/>
      <c r="P10" s="248"/>
      <c r="Q10" s="248"/>
      <c r="R10" s="154"/>
      <c r="S10" s="154"/>
      <c r="T10" s="154"/>
      <c r="U10" s="154"/>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row>
    <row r="11" spans="1:52" ht="15.75" customHeight="1" x14ac:dyDescent="0.25">
      <c r="A11" s="154"/>
      <c r="B11" s="252" t="s">
        <v>24</v>
      </c>
      <c r="C11" s="252"/>
      <c r="D11" s="253" t="s">
        <v>198</v>
      </c>
      <c r="E11" s="254"/>
      <c r="F11" s="254"/>
      <c r="G11" s="254"/>
      <c r="H11" s="254"/>
      <c r="I11" s="254"/>
      <c r="J11" s="254"/>
      <c r="K11" s="255"/>
      <c r="L11" s="77"/>
      <c r="M11" s="77"/>
      <c r="N11" s="77"/>
      <c r="O11" s="200"/>
      <c r="P11" s="201"/>
      <c r="Q11" s="201"/>
      <c r="R11" s="154"/>
      <c r="S11" s="154"/>
      <c r="T11" s="154"/>
      <c r="U11" s="154"/>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row>
    <row r="12" spans="1:52" ht="255" customHeight="1" x14ac:dyDescent="0.25">
      <c r="A12" s="154"/>
      <c r="B12" s="268" t="s">
        <v>27</v>
      </c>
      <c r="C12" s="268"/>
      <c r="D12" s="269" t="s">
        <v>403</v>
      </c>
      <c r="E12" s="270"/>
      <c r="F12" s="270"/>
      <c r="G12" s="270"/>
      <c r="H12" s="270"/>
      <c r="I12" s="270"/>
      <c r="J12" s="270"/>
      <c r="K12" s="271"/>
      <c r="L12" s="74"/>
      <c r="M12" s="74"/>
      <c r="N12" s="74"/>
      <c r="O12" s="202"/>
      <c r="P12" s="201"/>
      <c r="Q12" s="201"/>
      <c r="R12" s="154"/>
      <c r="S12" s="154"/>
      <c r="T12" s="154"/>
      <c r="U12" s="154"/>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08" t="str">
        <f>D12</f>
        <v>This technology represents the application of heat production from geothermal formations in The Netherlands. A typical project consists of two wells, a production and an injection well, also called doublet. The wells are either fully vertically drilled or vertical with a curvature deep below. The bottom of the wells is situated in a water holding layer of  sand- or limestone, and lies between 1500 and 4000 meters below ground level. Salty hot water (brine) is pumped up through the production well, cooled in a heat exchanger and injected back underground through the injection well. In principle there is no loss of brine water, but some degassing may be needed as natural gas may be dissolved in the brine and needs to be separated. An alternative is to maintain sufficient pressure so that no natural gas escapes and is injected back underground. The warm water production temperature varies typically between 70 and 90⁰C (max 100⁰C) depending on the depth and the type of layer. For the Netherlands, a temperature gradient of around 30⁰C per kilometer is valid. The injection temperature lies between 35⁰C or lower. Lowering the injection temperature can increase the heat output of the system. Production volumes can be several hundreds m3 per hour, depending on the heat demand and the well characteristics. The installation consists of two bore holes usually in steel with liners, a production pump (Electric Submersible Pump, ESP), an above ground heat exchanger and an injection pump. An oil and/or gas separator is optional. In some cases, anti-scaling prohibitors may be required. Safety measures like a blow-out prevenator and double tubing to avoid and control gas leakage have recently become mandatory in the Netherlands. To date all existing geothermal projects are situated in the horticultural sector, although some proposals exist for projects in the built environment. A heat network or a heat distribution network may be required, but is not part of this factsheet. 
Legend: 1) above ground installation ; 2) production and injection wells; 3) brine extraction and injection.</v>
      </c>
    </row>
    <row r="13" spans="1:52" ht="15.75" customHeight="1" x14ac:dyDescent="0.25">
      <c r="A13" s="154"/>
      <c r="B13" s="272" t="s">
        <v>303</v>
      </c>
      <c r="C13" s="272"/>
      <c r="D13" s="273" t="s">
        <v>34</v>
      </c>
      <c r="E13" s="264"/>
      <c r="F13" s="264"/>
      <c r="G13" s="264"/>
      <c r="H13" s="264"/>
      <c r="I13" s="264"/>
      <c r="J13" s="264"/>
      <c r="K13" s="265"/>
      <c r="L13" s="77"/>
      <c r="M13" s="77"/>
      <c r="N13" s="77"/>
      <c r="O13" s="77"/>
      <c r="P13" s="154"/>
      <c r="Q13" s="154"/>
      <c r="R13" s="154"/>
      <c r="S13" s="154"/>
      <c r="T13" s="154"/>
      <c r="U13" s="154"/>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row>
    <row r="14" spans="1:52" ht="185.25" customHeight="1" x14ac:dyDescent="0.25">
      <c r="A14" s="154"/>
      <c r="B14" s="272"/>
      <c r="C14" s="272"/>
      <c r="D14" s="274" t="s">
        <v>304</v>
      </c>
      <c r="E14" s="275"/>
      <c r="F14" s="275"/>
      <c r="G14" s="275"/>
      <c r="H14" s="275"/>
      <c r="I14" s="275"/>
      <c r="J14" s="275"/>
      <c r="K14" s="276"/>
      <c r="L14" s="74"/>
      <c r="M14" s="74"/>
      <c r="N14" s="74"/>
      <c r="O14" s="74"/>
      <c r="P14" s="154"/>
      <c r="Q14" s="154"/>
      <c r="R14" s="154"/>
      <c r="S14" s="154"/>
      <c r="T14" s="154"/>
      <c r="U14" s="154"/>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08" t="str">
        <f>D14</f>
        <v>Only a limited amount of  geothermal heat production installations exist in the Netherlands in 2020, of which all are situated in the horticultural sector. About 50 more have applied for SDE subsidy (up to 2020). Although geothermal for heat generation is a fairly young application, much of the knowledge needed on the underground and on drilling exists from the vast amount of experience from oil and gas wells in the Netherlands. Most of the techniques applied (drilling, oil/gas separation, heat exchangers) are mature and commercially available. There is still room for improvement in the use of advanced materials, smarter drilling campaigns and projects' experience, hence a TRL level 8 is chosen.
Staatstoezicht op de Mijnen (SoDM) controls the safe working of the projects and the Dutch association of geothermal operators (DAGO) is developing a number of guidelines to professionalise installations and operators. TNO's geology unit approves the project data (expected heat output and volumes) in order to be eligible for subsidy (SDE++). They also monitor and publish production on a monthly basis (nlog.nl).</v>
      </c>
    </row>
    <row r="15" spans="1:52" ht="21" customHeight="1" x14ac:dyDescent="0.25">
      <c r="A15" s="154"/>
      <c r="B15" s="256" t="s">
        <v>50</v>
      </c>
      <c r="C15" s="257"/>
      <c r="D15" s="257"/>
      <c r="E15" s="257"/>
      <c r="F15" s="257"/>
      <c r="G15" s="257"/>
      <c r="H15" s="257"/>
      <c r="I15" s="257"/>
      <c r="J15" s="257"/>
      <c r="K15" s="258"/>
      <c r="L15" s="76"/>
      <c r="M15" s="76"/>
      <c r="N15" s="76"/>
      <c r="O15" s="76"/>
      <c r="P15" s="154"/>
      <c r="Q15" s="154"/>
      <c r="R15" s="154"/>
      <c r="S15" s="154"/>
      <c r="T15" s="154"/>
      <c r="U15" s="154"/>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row>
    <row r="16" spans="1:52" ht="15" customHeight="1" x14ac:dyDescent="0.25">
      <c r="A16" s="154"/>
      <c r="B16" s="296" t="s">
        <v>51</v>
      </c>
      <c r="C16" s="296"/>
      <c r="D16" s="380" t="s">
        <v>479</v>
      </c>
      <c r="E16" s="381"/>
      <c r="F16" s="381"/>
      <c r="G16" s="381"/>
      <c r="H16" s="381"/>
      <c r="I16" s="381"/>
      <c r="J16" s="381"/>
      <c r="K16" s="382"/>
      <c r="L16" s="76"/>
      <c r="M16" s="76"/>
      <c r="N16" s="76"/>
      <c r="O16" s="76"/>
      <c r="P16" s="154"/>
      <c r="Q16" s="154"/>
      <c r="R16" s="154"/>
      <c r="S16" s="154"/>
      <c r="T16" s="154"/>
      <c r="U16" s="154"/>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row>
    <row r="17" spans="1:51" ht="15" customHeight="1" x14ac:dyDescent="0.25">
      <c r="A17" s="154"/>
      <c r="B17" s="296"/>
      <c r="C17" s="296"/>
      <c r="D17" s="383"/>
      <c r="E17" s="384"/>
      <c r="F17" s="384"/>
      <c r="G17" s="384"/>
      <c r="H17" s="384"/>
      <c r="I17" s="384"/>
      <c r="J17" s="384"/>
      <c r="K17" s="385"/>
      <c r="L17" s="76"/>
      <c r="M17" s="76"/>
      <c r="N17" s="76"/>
      <c r="O17" s="76"/>
      <c r="P17" s="154"/>
      <c r="Q17" s="154"/>
      <c r="R17" s="154"/>
      <c r="S17" s="154"/>
      <c r="T17" s="154"/>
      <c r="U17" s="154"/>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row>
    <row r="18" spans="1:51" x14ac:dyDescent="0.25">
      <c r="A18" s="154"/>
      <c r="B18" s="303"/>
      <c r="C18" s="303"/>
      <c r="D18" s="304" t="s">
        <v>305</v>
      </c>
      <c r="E18" s="304"/>
      <c r="F18" s="304"/>
      <c r="G18" s="165" t="s">
        <v>306</v>
      </c>
      <c r="H18" s="165" t="s">
        <v>307</v>
      </c>
      <c r="I18" s="165" t="s">
        <v>308</v>
      </c>
      <c r="J18" s="165" t="s">
        <v>309</v>
      </c>
      <c r="K18" s="165" t="s">
        <v>310</v>
      </c>
      <c r="L18" s="78"/>
      <c r="M18" s="78"/>
      <c r="N18" s="78"/>
      <c r="O18" s="78"/>
      <c r="P18" s="154"/>
      <c r="Q18" s="154"/>
      <c r="R18" s="154"/>
      <c r="S18" s="154"/>
      <c r="T18" s="154"/>
      <c r="U18" s="154"/>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row>
    <row r="19" spans="1:51" ht="15.75" customHeight="1" x14ac:dyDescent="0.25">
      <c r="A19" s="154"/>
      <c r="B19" s="296" t="s">
        <v>55</v>
      </c>
      <c r="C19" s="296"/>
      <c r="D19" s="372" t="str">
        <f>IF(D16="Please select","Select Functional Unit above",D16)</f>
        <v>kW</v>
      </c>
      <c r="E19" s="372"/>
      <c r="F19" s="372"/>
      <c r="G19" s="212">
        <v>15000</v>
      </c>
      <c r="H19" s="93"/>
      <c r="I19" s="93"/>
      <c r="J19" s="93"/>
      <c r="K19" s="93"/>
      <c r="L19" s="79"/>
      <c r="M19" s="79"/>
      <c r="N19" s="79"/>
      <c r="O19" s="79"/>
      <c r="P19" s="154"/>
      <c r="Q19" s="154"/>
      <c r="R19" s="154"/>
      <c r="S19" s="154"/>
      <c r="T19" s="154"/>
      <c r="U19" s="154"/>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row>
    <row r="20" spans="1:51" ht="15.75" customHeight="1" x14ac:dyDescent="0.25">
      <c r="A20" s="154"/>
      <c r="B20" s="296"/>
      <c r="C20" s="296"/>
      <c r="D20" s="372"/>
      <c r="E20" s="372"/>
      <c r="F20" s="372"/>
      <c r="G20" s="104" t="s">
        <v>311</v>
      </c>
      <c r="H20" s="104" t="s">
        <v>312</v>
      </c>
      <c r="I20" s="104" t="s">
        <v>312</v>
      </c>
      <c r="J20" s="104" t="s">
        <v>312</v>
      </c>
      <c r="K20" s="104" t="s">
        <v>312</v>
      </c>
      <c r="L20" s="79"/>
      <c r="M20" s="79"/>
      <c r="N20" s="79"/>
      <c r="O20" s="79"/>
      <c r="P20" s="154"/>
      <c r="Q20" s="154"/>
      <c r="R20" s="154"/>
      <c r="S20" s="154"/>
      <c r="T20" s="154"/>
      <c r="U20" s="154"/>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row>
    <row r="21" spans="1:51" ht="15.75" customHeight="1" x14ac:dyDescent="0.25">
      <c r="A21" s="154"/>
      <c r="B21" s="303"/>
      <c r="C21" s="303"/>
      <c r="D21" s="312" t="s">
        <v>313</v>
      </c>
      <c r="E21" s="313"/>
      <c r="F21" s="166" t="s">
        <v>314</v>
      </c>
      <c r="G21" s="282" t="s">
        <v>315</v>
      </c>
      <c r="H21" s="282"/>
      <c r="I21" s="282"/>
      <c r="J21" s="282"/>
      <c r="K21" s="282"/>
      <c r="L21" s="281">
        <v>2030</v>
      </c>
      <c r="M21" s="281"/>
      <c r="N21" s="281"/>
      <c r="O21" s="281"/>
      <c r="P21" s="281"/>
      <c r="Q21" s="282">
        <v>2050</v>
      </c>
      <c r="R21" s="282"/>
      <c r="S21" s="282"/>
      <c r="T21" s="282"/>
      <c r="U21" s="282"/>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row>
    <row r="22" spans="1:51" ht="15.75" customHeight="1" x14ac:dyDescent="0.25">
      <c r="A22" s="154"/>
      <c r="B22" s="283" t="s">
        <v>60</v>
      </c>
      <c r="C22" s="284"/>
      <c r="D22" s="289" t="s">
        <v>217</v>
      </c>
      <c r="E22" s="290"/>
      <c r="F22" s="390" t="s">
        <v>477</v>
      </c>
      <c r="G22" s="165" t="s">
        <v>306</v>
      </c>
      <c r="H22" s="165" t="s">
        <v>307</v>
      </c>
      <c r="I22" s="165" t="s">
        <v>308</v>
      </c>
      <c r="J22" s="165" t="s">
        <v>309</v>
      </c>
      <c r="K22" s="165" t="s">
        <v>310</v>
      </c>
      <c r="L22" s="164" t="s">
        <v>306</v>
      </c>
      <c r="M22" s="164" t="s">
        <v>307</v>
      </c>
      <c r="N22" s="164" t="s">
        <v>308</v>
      </c>
      <c r="O22" s="164" t="s">
        <v>309</v>
      </c>
      <c r="P22" s="164" t="s">
        <v>310</v>
      </c>
      <c r="Q22" s="165" t="s">
        <v>306</v>
      </c>
      <c r="R22" s="165" t="s">
        <v>307</v>
      </c>
      <c r="S22" s="165" t="s">
        <v>308</v>
      </c>
      <c r="T22" s="165" t="s">
        <v>309</v>
      </c>
      <c r="U22" s="165" t="s">
        <v>310</v>
      </c>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row>
    <row r="23" spans="1:51" ht="15" customHeight="1" x14ac:dyDescent="0.25">
      <c r="A23" s="154"/>
      <c r="B23" s="285"/>
      <c r="C23" s="286"/>
      <c r="D23" s="291"/>
      <c r="E23" s="292"/>
      <c r="F23" s="391"/>
      <c r="G23" s="94"/>
      <c r="H23" s="93"/>
      <c r="I23" s="93"/>
      <c r="J23" s="93"/>
      <c r="K23" s="93"/>
      <c r="L23" s="170">
        <f>50/3.6*1000000/6000</f>
        <v>2314.8148148148148</v>
      </c>
      <c r="M23" s="103"/>
      <c r="N23" s="103"/>
      <c r="O23" s="103"/>
      <c r="P23" s="103"/>
      <c r="Q23" s="170">
        <f>200/3.6*1000000/6000</f>
        <v>9259.2592592592591</v>
      </c>
      <c r="R23" s="103"/>
      <c r="S23" s="103"/>
      <c r="T23" s="103"/>
      <c r="U23" s="103"/>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row>
    <row r="24" spans="1:51" x14ac:dyDescent="0.25">
      <c r="A24" s="154"/>
      <c r="B24" s="287"/>
      <c r="C24" s="288"/>
      <c r="D24" s="291"/>
      <c r="E24" s="292"/>
      <c r="F24" s="392"/>
      <c r="G24" s="104" t="s">
        <v>312</v>
      </c>
      <c r="H24" s="104" t="s">
        <v>312</v>
      </c>
      <c r="I24" s="104" t="s">
        <v>312</v>
      </c>
      <c r="J24" s="104" t="s">
        <v>312</v>
      </c>
      <c r="K24" s="104" t="s">
        <v>312</v>
      </c>
      <c r="L24" s="104" t="s">
        <v>316</v>
      </c>
      <c r="M24" s="104" t="s">
        <v>312</v>
      </c>
      <c r="N24" s="104" t="s">
        <v>312</v>
      </c>
      <c r="O24" s="104" t="s">
        <v>312</v>
      </c>
      <c r="P24" s="104" t="s">
        <v>312</v>
      </c>
      <c r="Q24" s="104" t="s">
        <v>316</v>
      </c>
      <c r="R24" s="104" t="s">
        <v>312</v>
      </c>
      <c r="S24" s="104" t="s">
        <v>312</v>
      </c>
      <c r="T24" s="104" t="s">
        <v>312</v>
      </c>
      <c r="U24" s="104" t="s">
        <v>312</v>
      </c>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row>
    <row r="25" spans="1:51" ht="15.75" customHeight="1" x14ac:dyDescent="0.25">
      <c r="A25" s="154"/>
      <c r="B25" s="296" t="s">
        <v>317</v>
      </c>
      <c r="C25" s="296"/>
      <c r="D25" s="297" t="s">
        <v>318</v>
      </c>
      <c r="E25" s="299"/>
      <c r="F25" s="306" t="s">
        <v>319</v>
      </c>
      <c r="G25" s="94"/>
      <c r="H25" s="93"/>
      <c r="I25" s="93"/>
      <c r="J25" s="93"/>
      <c r="K25" s="93"/>
      <c r="L25" s="92">
        <v>5</v>
      </c>
      <c r="M25" s="103"/>
      <c r="N25" s="103"/>
      <c r="O25" s="103"/>
      <c r="P25" s="103"/>
      <c r="Q25" s="92">
        <v>22</v>
      </c>
      <c r="R25" s="103"/>
      <c r="S25" s="103"/>
      <c r="T25" s="103"/>
      <c r="U25" s="103"/>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row>
    <row r="26" spans="1:51" ht="15.75" customHeight="1" x14ac:dyDescent="0.25">
      <c r="A26" s="154"/>
      <c r="B26" s="296"/>
      <c r="C26" s="296"/>
      <c r="D26" s="300"/>
      <c r="E26" s="302"/>
      <c r="F26" s="307"/>
      <c r="G26" s="104" t="s">
        <v>312</v>
      </c>
      <c r="H26" s="104" t="s">
        <v>312</v>
      </c>
      <c r="I26" s="104" t="s">
        <v>312</v>
      </c>
      <c r="J26" s="104" t="s">
        <v>312</v>
      </c>
      <c r="K26" s="104" t="s">
        <v>312</v>
      </c>
      <c r="L26" s="104" t="s">
        <v>316</v>
      </c>
      <c r="M26" s="104" t="s">
        <v>312</v>
      </c>
      <c r="N26" s="104" t="s">
        <v>312</v>
      </c>
      <c r="O26" s="104" t="s">
        <v>312</v>
      </c>
      <c r="P26" s="104" t="s">
        <v>312</v>
      </c>
      <c r="Q26" s="104" t="s">
        <v>316</v>
      </c>
      <c r="R26" s="104" t="s">
        <v>312</v>
      </c>
      <c r="S26" s="104" t="s">
        <v>312</v>
      </c>
      <c r="T26" s="104" t="s">
        <v>312</v>
      </c>
      <c r="U26" s="104" t="s">
        <v>312</v>
      </c>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row>
    <row r="27" spans="1:51" x14ac:dyDescent="0.25">
      <c r="A27" s="154"/>
      <c r="B27" s="308" t="s">
        <v>67</v>
      </c>
      <c r="C27" s="308"/>
      <c r="D27" s="309">
        <v>1</v>
      </c>
      <c r="E27" s="310"/>
      <c r="F27" s="310"/>
      <c r="G27" s="310"/>
      <c r="H27" s="310"/>
      <c r="I27" s="310"/>
      <c r="J27" s="310"/>
      <c r="K27" s="311"/>
      <c r="L27" s="81"/>
      <c r="M27" s="81"/>
      <c r="N27" s="81"/>
      <c r="O27" s="81"/>
      <c r="P27" s="154"/>
      <c r="Q27" s="154"/>
      <c r="R27" s="154"/>
      <c r="S27" s="154"/>
      <c r="T27" s="154"/>
      <c r="U27" s="154"/>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row>
    <row r="28" spans="1:51" x14ac:dyDescent="0.25">
      <c r="A28" s="154"/>
      <c r="B28" s="308" t="s">
        <v>70</v>
      </c>
      <c r="C28" s="308"/>
      <c r="D28" s="309">
        <v>6000</v>
      </c>
      <c r="E28" s="310"/>
      <c r="F28" s="310"/>
      <c r="G28" s="310"/>
      <c r="H28" s="310"/>
      <c r="I28" s="310"/>
      <c r="J28" s="310"/>
      <c r="K28" s="311"/>
      <c r="L28" s="81"/>
      <c r="M28" s="81"/>
      <c r="N28" s="81"/>
      <c r="O28" s="81"/>
      <c r="P28" s="154"/>
      <c r="Q28" s="154"/>
      <c r="R28" s="154"/>
      <c r="S28" s="154"/>
      <c r="T28" s="154"/>
      <c r="U28" s="154"/>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row>
    <row r="29" spans="1:51" x14ac:dyDescent="0.25">
      <c r="A29" s="154"/>
      <c r="B29" s="308" t="s">
        <v>72</v>
      </c>
      <c r="C29" s="308"/>
      <c r="D29" s="373" t="s">
        <v>478</v>
      </c>
      <c r="E29" s="374"/>
      <c r="F29" s="374"/>
      <c r="G29" s="374"/>
      <c r="H29" s="374"/>
      <c r="I29" s="374"/>
      <c r="J29" s="374"/>
      <c r="K29" s="375"/>
      <c r="L29" s="81"/>
      <c r="M29" s="81"/>
      <c r="N29" s="81"/>
      <c r="O29" s="81"/>
      <c r="P29" s="154"/>
      <c r="Q29" s="154"/>
      <c r="R29" s="154"/>
      <c r="S29" s="154"/>
      <c r="T29" s="154"/>
      <c r="U29" s="154"/>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row>
    <row r="30" spans="1:51" ht="15.75" customHeight="1" x14ac:dyDescent="0.25">
      <c r="A30" s="154"/>
      <c r="B30" s="308" t="s">
        <v>75</v>
      </c>
      <c r="C30" s="308"/>
      <c r="D30" s="309" t="s">
        <v>320</v>
      </c>
      <c r="E30" s="310"/>
      <c r="F30" s="310"/>
      <c r="G30" s="310"/>
      <c r="H30" s="310"/>
      <c r="I30" s="310"/>
      <c r="J30" s="310"/>
      <c r="K30" s="311"/>
      <c r="L30" s="80"/>
      <c r="M30" s="80"/>
      <c r="N30" s="80"/>
      <c r="O30" s="80"/>
      <c r="P30" s="154"/>
      <c r="Q30" s="154"/>
      <c r="R30" s="154"/>
      <c r="S30" s="154"/>
      <c r="T30" s="154"/>
      <c r="U30" s="154"/>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row>
    <row r="31" spans="1:51" x14ac:dyDescent="0.25">
      <c r="A31" s="154"/>
      <c r="B31" s="308" t="s">
        <v>80</v>
      </c>
      <c r="C31" s="308"/>
      <c r="D31" s="309">
        <v>30</v>
      </c>
      <c r="E31" s="310"/>
      <c r="F31" s="310"/>
      <c r="G31" s="310"/>
      <c r="H31" s="310"/>
      <c r="I31" s="310"/>
      <c r="J31" s="310"/>
      <c r="K31" s="311"/>
      <c r="L31" s="81"/>
      <c r="M31" s="81"/>
      <c r="N31" s="81"/>
      <c r="O31" s="81"/>
      <c r="P31" s="154"/>
      <c r="Q31" s="154"/>
      <c r="R31" s="154"/>
      <c r="S31" s="154"/>
      <c r="T31" s="154"/>
      <c r="U31" s="154"/>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row>
    <row r="32" spans="1:51" x14ac:dyDescent="0.25">
      <c r="A32" s="154"/>
      <c r="B32" s="308" t="s">
        <v>82</v>
      </c>
      <c r="C32" s="308"/>
      <c r="D32" s="309" t="s">
        <v>321</v>
      </c>
      <c r="E32" s="310"/>
      <c r="F32" s="310"/>
      <c r="G32" s="310"/>
      <c r="H32" s="310"/>
      <c r="I32" s="310"/>
      <c r="J32" s="310"/>
      <c r="K32" s="311"/>
      <c r="L32" s="81"/>
      <c r="M32" s="81"/>
      <c r="N32" s="81"/>
      <c r="O32" s="81"/>
      <c r="P32" s="154"/>
      <c r="Q32" s="154"/>
      <c r="R32" s="154"/>
      <c r="S32" s="154"/>
      <c r="T32" s="154"/>
      <c r="U32" s="154"/>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row>
    <row r="33" spans="1:53" x14ac:dyDescent="0.25">
      <c r="A33" s="154"/>
      <c r="B33" s="308" t="s">
        <v>83</v>
      </c>
      <c r="C33" s="308"/>
      <c r="D33" s="260" t="s">
        <v>196</v>
      </c>
      <c r="E33" s="261"/>
      <c r="F33" s="261"/>
      <c r="G33" s="261"/>
      <c r="H33" s="261"/>
      <c r="I33" s="261"/>
      <c r="J33" s="261"/>
      <c r="K33" s="262"/>
      <c r="L33" s="81"/>
      <c r="M33" s="81"/>
      <c r="N33" s="81"/>
      <c r="O33" s="81"/>
      <c r="P33" s="154"/>
      <c r="Q33" s="154"/>
      <c r="R33" s="154"/>
      <c r="S33" s="154"/>
      <c r="T33" s="154"/>
      <c r="U33" s="154"/>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row>
    <row r="34" spans="1:53" ht="289.89999999999998" customHeight="1" x14ac:dyDescent="0.25">
      <c r="A34" s="154"/>
      <c r="B34" s="296" t="s">
        <v>322</v>
      </c>
      <c r="C34" s="296"/>
      <c r="D34" s="314" t="s">
        <v>407</v>
      </c>
      <c r="E34" s="315"/>
      <c r="F34" s="315"/>
      <c r="G34" s="315"/>
      <c r="H34" s="315"/>
      <c r="I34" s="315"/>
      <c r="J34" s="315"/>
      <c r="K34" s="316"/>
      <c r="L34" s="74"/>
      <c r="M34" s="74"/>
      <c r="N34" s="74"/>
      <c r="O34" s="74"/>
      <c r="P34" s="154"/>
      <c r="Q34" s="154"/>
      <c r="R34" s="154"/>
      <c r="S34" s="154"/>
      <c r="T34" s="154"/>
      <c r="U34" s="154"/>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08" t="str">
        <f>D34</f>
        <v>The current size of a typical geothermal project is 15 MWth, based on an application in horticulture, with a range between 7 and 30 MWth (SDE++ data up to spring 2020 including existing projects and applications). This size does already include a capacity factor based on existing projects, being the ratio of actual heat power (production) compared  to the expected power output as estimated in the SDE+ subsidy application (pre-drill). An annual full load production time of 6000 hours is assumed for geothermal applications in the horticultural sector, considered baseload. However actual production time varies between 4000 and  8000 hours. In the built environment, full load hours depend on the size of the heat network: in large networks, 6000 hours are possible, in smaller or new networks, 3500 hours is the default.  Much of the amount of full load hours depends on the heat demand profile, quite often this is in U-shape (like a bath tub): higher demand levels in winter compared to intermediate and summer seasons. Geothermal projects in the horticultural sector are designed to run as much as possible as baseload, so with high full load hours. Other sectors, like industry or other applications , could also apply this technology. 
Lifetime is expected to be up to 30 years, but so far no project has been running more than a few years. Technical or seismic problems have caused some projects to be shut down after a few years. Legislation requires that wells have to be closed up in such a way that gas leakage at the end of their life time is prevented.
The sector estimates that geothermal heat could supply 50 PJ in 2030 and 200 PJ in 2050 (13,9 to 55,6 million MWh), or 5% and 22% of the heat demand below 100oC (SPG 2018).  Currently (2020) about 6,2 PJ  (1,7 million MWh) of heat is delivered by deep geothermal wells (CBS), but so far only to the horticultural sector as main user. Some geothermal projects in horticulture provide excess heat to the built environment nearby.</v>
      </c>
    </row>
    <row r="35" spans="1:53" ht="21" customHeight="1" x14ac:dyDescent="0.25">
      <c r="A35" s="154"/>
      <c r="B35" s="322" t="s">
        <v>323</v>
      </c>
      <c r="C35" s="322"/>
      <c r="D35" s="322"/>
      <c r="E35" s="322"/>
      <c r="F35" s="322"/>
      <c r="G35" s="322"/>
      <c r="H35" s="322"/>
      <c r="I35" s="322"/>
      <c r="J35" s="322"/>
      <c r="K35" s="322"/>
      <c r="L35" s="322"/>
      <c r="M35" s="322"/>
      <c r="N35" s="322"/>
      <c r="O35" s="322"/>
      <c r="P35" s="322"/>
      <c r="Q35" s="322"/>
      <c r="R35" s="322"/>
      <c r="S35" s="322"/>
      <c r="T35" s="322"/>
      <c r="U35" s="322"/>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row>
    <row r="36" spans="1:53" ht="15.75" customHeight="1" x14ac:dyDescent="0.25">
      <c r="A36" s="154"/>
      <c r="B36" s="323" t="s">
        <v>324</v>
      </c>
      <c r="C36" s="323"/>
      <c r="D36" s="323"/>
      <c r="E36" s="323"/>
      <c r="F36" s="323"/>
      <c r="G36" s="282" t="s">
        <v>315</v>
      </c>
      <c r="H36" s="282"/>
      <c r="I36" s="282"/>
      <c r="J36" s="282"/>
      <c r="K36" s="282"/>
      <c r="L36" s="281">
        <v>2030</v>
      </c>
      <c r="M36" s="281"/>
      <c r="N36" s="281"/>
      <c r="O36" s="281"/>
      <c r="P36" s="281"/>
      <c r="Q36" s="282">
        <v>2050</v>
      </c>
      <c r="R36" s="282"/>
      <c r="S36" s="282"/>
      <c r="T36" s="282"/>
      <c r="U36" s="282"/>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row>
    <row r="37" spans="1:53" ht="15.75" customHeight="1" x14ac:dyDescent="0.25">
      <c r="A37" s="154"/>
      <c r="B37" s="323"/>
      <c r="C37" s="323"/>
      <c r="D37" s="324"/>
      <c r="E37" s="324"/>
      <c r="F37" s="324"/>
      <c r="G37" s="165" t="s">
        <v>306</v>
      </c>
      <c r="H37" s="165" t="s">
        <v>307</v>
      </c>
      <c r="I37" s="165" t="s">
        <v>308</v>
      </c>
      <c r="J37" s="165" t="s">
        <v>309</v>
      </c>
      <c r="K37" s="165" t="s">
        <v>310</v>
      </c>
      <c r="L37" s="164" t="s">
        <v>306</v>
      </c>
      <c r="M37" s="164" t="s">
        <v>307</v>
      </c>
      <c r="N37" s="164" t="s">
        <v>308</v>
      </c>
      <c r="O37" s="164" t="s">
        <v>309</v>
      </c>
      <c r="P37" s="164" t="s">
        <v>310</v>
      </c>
      <c r="Q37" s="165" t="s">
        <v>306</v>
      </c>
      <c r="R37" s="165" t="s">
        <v>307</v>
      </c>
      <c r="S37" s="165" t="s">
        <v>308</v>
      </c>
      <c r="T37" s="165" t="s">
        <v>309</v>
      </c>
      <c r="U37" s="165" t="s">
        <v>310</v>
      </c>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row>
    <row r="38" spans="1:53" ht="15.75" customHeight="1" x14ac:dyDescent="0.25">
      <c r="A38" s="154"/>
      <c r="B38" s="272" t="s">
        <v>88</v>
      </c>
      <c r="C38" s="325"/>
      <c r="D38" s="388" t="s">
        <v>235</v>
      </c>
      <c r="E38" s="376" t="str">
        <f>IF(D16="Please select","Please select 'Functional Unit' above",D16)</f>
        <v>kW</v>
      </c>
      <c r="F38" s="377"/>
      <c r="G38" s="212">
        <v>1325</v>
      </c>
      <c r="H38" s="212">
        <v>1041</v>
      </c>
      <c r="I38" s="212">
        <v>1614</v>
      </c>
      <c r="J38" s="103"/>
      <c r="K38" s="103"/>
      <c r="L38" s="94"/>
      <c r="M38" s="103"/>
      <c r="N38" s="103"/>
      <c r="O38" s="103"/>
      <c r="P38" s="103"/>
      <c r="Q38" s="94"/>
      <c r="R38" s="103"/>
      <c r="S38" s="103"/>
      <c r="T38" s="103"/>
      <c r="U38" s="103"/>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row>
    <row r="39" spans="1:53" x14ac:dyDescent="0.25">
      <c r="A39" s="154"/>
      <c r="B39" s="272"/>
      <c r="C39" s="325"/>
      <c r="D39" s="389"/>
      <c r="E39" s="378"/>
      <c r="F39" s="379"/>
      <c r="G39" s="105" t="s">
        <v>325</v>
      </c>
      <c r="H39" s="105" t="s">
        <v>325</v>
      </c>
      <c r="I39" s="105" t="s">
        <v>325</v>
      </c>
      <c r="J39" s="104" t="s">
        <v>312</v>
      </c>
      <c r="K39" s="104" t="s">
        <v>312</v>
      </c>
      <c r="L39" s="104" t="s">
        <v>312</v>
      </c>
      <c r="M39" s="104" t="s">
        <v>312</v>
      </c>
      <c r="N39" s="104" t="s">
        <v>312</v>
      </c>
      <c r="O39" s="104" t="s">
        <v>312</v>
      </c>
      <c r="P39" s="104" t="s">
        <v>312</v>
      </c>
      <c r="Q39" s="104" t="s">
        <v>312</v>
      </c>
      <c r="R39" s="104" t="s">
        <v>312</v>
      </c>
      <c r="S39" s="104" t="s">
        <v>312</v>
      </c>
      <c r="T39" s="104" t="s">
        <v>312</v>
      </c>
      <c r="U39" s="104" t="s">
        <v>312</v>
      </c>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row>
    <row r="40" spans="1:53" ht="15" customHeight="1" x14ac:dyDescent="0.25">
      <c r="A40" s="154"/>
      <c r="B40" s="272" t="s">
        <v>326</v>
      </c>
      <c r="C40" s="272"/>
      <c r="D40" s="388" t="s">
        <v>235</v>
      </c>
      <c r="E40" s="376" t="str">
        <f>IF(D16="Please select","Please select 'Functional Unit' above",D16)</f>
        <v>kW</v>
      </c>
      <c r="F40" s="377"/>
      <c r="G40" s="94"/>
      <c r="H40" s="103"/>
      <c r="I40" s="103"/>
      <c r="J40" s="103"/>
      <c r="K40" s="103"/>
      <c r="L40" s="94"/>
      <c r="M40" s="103"/>
      <c r="N40" s="103"/>
      <c r="O40" s="103"/>
      <c r="P40" s="103"/>
      <c r="Q40" s="94"/>
      <c r="R40" s="103"/>
      <c r="S40" s="103"/>
      <c r="T40" s="103"/>
      <c r="U40" s="103"/>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row>
    <row r="41" spans="1:53" ht="15" customHeight="1" x14ac:dyDescent="0.25">
      <c r="A41" s="154"/>
      <c r="B41" s="272"/>
      <c r="C41" s="272"/>
      <c r="D41" s="389"/>
      <c r="E41" s="378"/>
      <c r="F41" s="379"/>
      <c r="G41" s="104" t="s">
        <v>312</v>
      </c>
      <c r="H41" s="104" t="s">
        <v>312</v>
      </c>
      <c r="I41" s="104" t="s">
        <v>312</v>
      </c>
      <c r="J41" s="104" t="s">
        <v>312</v>
      </c>
      <c r="K41" s="104" t="s">
        <v>312</v>
      </c>
      <c r="L41" s="104" t="s">
        <v>312</v>
      </c>
      <c r="M41" s="104" t="s">
        <v>312</v>
      </c>
      <c r="N41" s="104" t="s">
        <v>312</v>
      </c>
      <c r="O41" s="104" t="s">
        <v>312</v>
      </c>
      <c r="P41" s="104" t="s">
        <v>312</v>
      </c>
      <c r="Q41" s="104" t="s">
        <v>312</v>
      </c>
      <c r="R41" s="104" t="s">
        <v>312</v>
      </c>
      <c r="S41" s="104" t="s">
        <v>312</v>
      </c>
      <c r="T41" s="104" t="s">
        <v>312</v>
      </c>
      <c r="U41" s="104" t="s">
        <v>312</v>
      </c>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row>
    <row r="42" spans="1:53" ht="15.75" customHeight="1" x14ac:dyDescent="0.25">
      <c r="A42" s="154"/>
      <c r="B42" s="272" t="s">
        <v>327</v>
      </c>
      <c r="C42" s="272"/>
      <c r="D42" s="388" t="s">
        <v>235</v>
      </c>
      <c r="E42" s="376" t="str">
        <f>IF(D16="Please select","Please select 'Functional Unit' above",D16)</f>
        <v>kW</v>
      </c>
      <c r="F42" s="377"/>
      <c r="G42" s="212">
        <v>102</v>
      </c>
      <c r="H42" s="212">
        <v>99</v>
      </c>
      <c r="I42" s="212">
        <v>126</v>
      </c>
      <c r="J42" s="103"/>
      <c r="K42" s="103"/>
      <c r="L42" s="94"/>
      <c r="M42" s="103"/>
      <c r="N42" s="103"/>
      <c r="O42" s="103"/>
      <c r="P42" s="103"/>
      <c r="Q42" s="94"/>
      <c r="R42" s="103"/>
      <c r="S42" s="103"/>
      <c r="T42" s="103"/>
      <c r="U42" s="103"/>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row>
    <row r="43" spans="1:53" ht="15" customHeight="1" x14ac:dyDescent="0.25">
      <c r="A43" s="154"/>
      <c r="B43" s="272"/>
      <c r="C43" s="272"/>
      <c r="D43" s="389"/>
      <c r="E43" s="378"/>
      <c r="F43" s="379"/>
      <c r="G43" s="105" t="s">
        <v>325</v>
      </c>
      <c r="H43" s="105" t="s">
        <v>325</v>
      </c>
      <c r="I43" s="105" t="s">
        <v>325</v>
      </c>
      <c r="J43" s="104" t="s">
        <v>312</v>
      </c>
      <c r="K43" s="104" t="s">
        <v>312</v>
      </c>
      <c r="L43" s="104" t="s">
        <v>312</v>
      </c>
      <c r="M43" s="104" t="s">
        <v>312</v>
      </c>
      <c r="N43" s="104" t="s">
        <v>312</v>
      </c>
      <c r="O43" s="104" t="s">
        <v>312</v>
      </c>
      <c r="P43" s="104" t="s">
        <v>312</v>
      </c>
      <c r="Q43" s="104" t="s">
        <v>312</v>
      </c>
      <c r="R43" s="104" t="s">
        <v>312</v>
      </c>
      <c r="S43" s="104" t="s">
        <v>312</v>
      </c>
      <c r="T43" s="104" t="s">
        <v>312</v>
      </c>
      <c r="U43" s="104" t="s">
        <v>312</v>
      </c>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row>
    <row r="44" spans="1:53" ht="15.75" customHeight="1" x14ac:dyDescent="0.25">
      <c r="A44" s="154"/>
      <c r="B44" s="272" t="s">
        <v>328</v>
      </c>
      <c r="C44" s="272"/>
      <c r="D44" s="317" t="s">
        <v>232</v>
      </c>
      <c r="E44" s="319" t="s">
        <v>168</v>
      </c>
      <c r="F44" s="320"/>
      <c r="G44" s="94"/>
      <c r="H44" s="103"/>
      <c r="I44" s="103"/>
      <c r="J44" s="103"/>
      <c r="K44" s="103"/>
      <c r="L44" s="94"/>
      <c r="M44" s="103"/>
      <c r="N44" s="103"/>
      <c r="O44" s="103"/>
      <c r="P44" s="103"/>
      <c r="Q44" s="94"/>
      <c r="R44" s="103"/>
      <c r="S44" s="103"/>
      <c r="T44" s="103"/>
      <c r="U44" s="103"/>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row>
    <row r="45" spans="1:53" ht="15" customHeight="1" x14ac:dyDescent="0.25">
      <c r="A45" s="154"/>
      <c r="B45" s="272"/>
      <c r="C45" s="272"/>
      <c r="D45" s="318"/>
      <c r="E45" s="321"/>
      <c r="F45" s="220"/>
      <c r="G45" s="104" t="s">
        <v>312</v>
      </c>
      <c r="H45" s="104" t="s">
        <v>312</v>
      </c>
      <c r="I45" s="104" t="s">
        <v>312</v>
      </c>
      <c r="J45" s="104" t="s">
        <v>312</v>
      </c>
      <c r="K45" s="104" t="s">
        <v>312</v>
      </c>
      <c r="L45" s="104" t="s">
        <v>312</v>
      </c>
      <c r="M45" s="104" t="s">
        <v>312</v>
      </c>
      <c r="N45" s="104" t="s">
        <v>312</v>
      </c>
      <c r="O45" s="104" t="s">
        <v>312</v>
      </c>
      <c r="P45" s="104" t="s">
        <v>312</v>
      </c>
      <c r="Q45" s="104" t="s">
        <v>312</v>
      </c>
      <c r="R45" s="104" t="s">
        <v>312</v>
      </c>
      <c r="S45" s="104" t="s">
        <v>312</v>
      </c>
      <c r="T45" s="104" t="s">
        <v>312</v>
      </c>
      <c r="U45" s="104" t="s">
        <v>312</v>
      </c>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row>
    <row r="46" spans="1:53" ht="160.15" customHeight="1" x14ac:dyDescent="0.25">
      <c r="A46" s="154"/>
      <c r="B46" s="268" t="s">
        <v>329</v>
      </c>
      <c r="C46" s="268"/>
      <c r="D46" s="331" t="s">
        <v>408</v>
      </c>
      <c r="E46" s="332"/>
      <c r="F46" s="332"/>
      <c r="G46" s="332"/>
      <c r="H46" s="332"/>
      <c r="I46" s="332"/>
      <c r="J46" s="332"/>
      <c r="K46" s="332"/>
      <c r="L46" s="332"/>
      <c r="M46" s="332"/>
      <c r="N46" s="332"/>
      <c r="O46" s="332"/>
      <c r="P46" s="332"/>
      <c r="Q46" s="332"/>
      <c r="R46" s="332"/>
      <c r="S46" s="332"/>
      <c r="T46" s="332"/>
      <c r="U46" s="332"/>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BA46" s="108" t="str">
        <f>D46</f>
        <v>Investment costs include all the elements which are subsidiable under the SDE+ subsidy regulation. Costs for site preparation, licencing and costs of capital are not included. Investment costs do include costs for the above ground elements: heat exchanger, oil/gas separator, connections. Drilling costs form the bulk part of the investments. Costs for a heat distribution network are not included in the cost figures. The cost figure of 1352 €2020/kWth represents the average of observed capex from producing projects and those that have applied for a SDE+ subsidy (status up to 2020). Varying with scale, investment costs range between 1614 euro2020/kWth and 1041 euro2020/kW for &lt;20 MWth and &gt;20 MWth respectively.
The fixed opex is also based on existing or applied projects and includes costs for electricity. The fixed OPEX cost varies between 99 euro2020/kWth and 126 euro2020/kWth for &lt;20 MWth and &gt;20 MWth respectively. Specific for horticulture - as geothermal heat replaces natural gas based heat production - the need for CO2 fertilisation in the greenhouses remains. The costs for buying external CO2 to compensate own natural gas based CO2 supply are not included in the opex.
No information is available about future costs developments, there could be a cost reduction effect from improved drilling campaigns, currently each project sets up its own drilling timeline, and improved components (casing, pumps, gas separators, heat exchangers), which also could reduce the opex. On the other hand, the use of advanced materials, well integrity and increased safety and monitoring issues require higher investments. It is unknown how this combination of effects will influence future costs.
Cost are adjusted to euro 2015 using a 1.02 factor.</v>
      </c>
    </row>
    <row r="47" spans="1:53" ht="21" customHeight="1" x14ac:dyDescent="0.25">
      <c r="A47" s="154"/>
      <c r="B47" s="322" t="s">
        <v>100</v>
      </c>
      <c r="C47" s="322"/>
      <c r="D47" s="322"/>
      <c r="E47" s="322"/>
      <c r="F47" s="322"/>
      <c r="G47" s="322"/>
      <c r="H47" s="322"/>
      <c r="I47" s="322"/>
      <c r="J47" s="322"/>
      <c r="K47" s="322"/>
      <c r="L47" s="322"/>
      <c r="M47" s="322"/>
      <c r="N47" s="322"/>
      <c r="O47" s="322"/>
      <c r="P47" s="322"/>
      <c r="Q47" s="322"/>
      <c r="R47" s="322"/>
      <c r="S47" s="322"/>
      <c r="T47" s="322"/>
      <c r="U47" s="322"/>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row>
    <row r="48" spans="1:53" ht="15.75" customHeight="1" x14ac:dyDescent="0.25">
      <c r="A48" s="154"/>
      <c r="B48" s="326" t="s">
        <v>330</v>
      </c>
      <c r="C48" s="327"/>
      <c r="D48" s="330" t="s">
        <v>331</v>
      </c>
      <c r="E48" s="330"/>
      <c r="F48" s="330" t="s">
        <v>314</v>
      </c>
      <c r="G48" s="282" t="s">
        <v>315</v>
      </c>
      <c r="H48" s="282"/>
      <c r="I48" s="282"/>
      <c r="J48" s="282"/>
      <c r="K48" s="282"/>
      <c r="L48" s="281">
        <v>2030</v>
      </c>
      <c r="M48" s="281"/>
      <c r="N48" s="281"/>
      <c r="O48" s="281"/>
      <c r="P48" s="281"/>
      <c r="Q48" s="282">
        <v>2050</v>
      </c>
      <c r="R48" s="282"/>
      <c r="S48" s="282"/>
      <c r="T48" s="282"/>
      <c r="U48" s="282"/>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row>
    <row r="49" spans="1:53" x14ac:dyDescent="0.25">
      <c r="A49" s="154"/>
      <c r="B49" s="328"/>
      <c r="C49" s="329"/>
      <c r="D49" s="330"/>
      <c r="E49" s="330"/>
      <c r="F49" s="330"/>
      <c r="G49" s="165" t="s">
        <v>306</v>
      </c>
      <c r="H49" s="165" t="s">
        <v>307</v>
      </c>
      <c r="I49" s="165" t="s">
        <v>308</v>
      </c>
      <c r="J49" s="165" t="s">
        <v>309</v>
      </c>
      <c r="K49" s="165" t="s">
        <v>310</v>
      </c>
      <c r="L49" s="164" t="s">
        <v>306</v>
      </c>
      <c r="M49" s="164" t="s">
        <v>307</v>
      </c>
      <c r="N49" s="164" t="s">
        <v>308</v>
      </c>
      <c r="O49" s="164" t="s">
        <v>309</v>
      </c>
      <c r="P49" s="164" t="s">
        <v>310</v>
      </c>
      <c r="Q49" s="165" t="s">
        <v>306</v>
      </c>
      <c r="R49" s="165" t="s">
        <v>307</v>
      </c>
      <c r="S49" s="165" t="s">
        <v>308</v>
      </c>
      <c r="T49" s="165" t="s">
        <v>309</v>
      </c>
      <c r="U49" s="165" t="s">
        <v>310</v>
      </c>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row>
    <row r="50" spans="1:53" ht="15.75" customHeight="1" x14ac:dyDescent="0.25">
      <c r="A50" s="154"/>
      <c r="B50" s="333" t="s">
        <v>332</v>
      </c>
      <c r="C50" s="334"/>
      <c r="D50" s="339" t="s">
        <v>260</v>
      </c>
      <c r="E50" s="339"/>
      <c r="F50" s="386" t="s">
        <v>173</v>
      </c>
      <c r="G50" s="94">
        <v>-1</v>
      </c>
      <c r="H50" s="103"/>
      <c r="I50" s="103"/>
      <c r="J50" s="103"/>
      <c r="K50" s="103"/>
      <c r="L50" s="94">
        <v>1</v>
      </c>
      <c r="M50" s="103"/>
      <c r="N50" s="103"/>
      <c r="O50" s="103"/>
      <c r="P50" s="103"/>
      <c r="Q50" s="94">
        <v>1</v>
      </c>
      <c r="R50" s="103"/>
      <c r="S50" s="103"/>
      <c r="T50" s="103"/>
      <c r="U50" s="103"/>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row>
    <row r="51" spans="1:53" x14ac:dyDescent="0.25">
      <c r="A51" s="154"/>
      <c r="B51" s="335"/>
      <c r="C51" s="336"/>
      <c r="D51" s="339"/>
      <c r="E51" s="339"/>
      <c r="F51" s="387"/>
      <c r="G51" s="105" t="s">
        <v>312</v>
      </c>
      <c r="H51" s="104" t="s">
        <v>312</v>
      </c>
      <c r="I51" s="104" t="s">
        <v>312</v>
      </c>
      <c r="J51" s="104" t="s">
        <v>312</v>
      </c>
      <c r="K51" s="104" t="s">
        <v>312</v>
      </c>
      <c r="L51" s="105" t="s">
        <v>312</v>
      </c>
      <c r="M51" s="104" t="s">
        <v>312</v>
      </c>
      <c r="N51" s="104" t="s">
        <v>312</v>
      </c>
      <c r="O51" s="104" t="s">
        <v>312</v>
      </c>
      <c r="P51" s="104" t="s">
        <v>312</v>
      </c>
      <c r="Q51" s="105" t="s">
        <v>312</v>
      </c>
      <c r="R51" s="104" t="s">
        <v>312</v>
      </c>
      <c r="S51" s="104" t="s">
        <v>312</v>
      </c>
      <c r="T51" s="104" t="s">
        <v>312</v>
      </c>
      <c r="U51" s="104" t="s">
        <v>312</v>
      </c>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row>
    <row r="52" spans="1:53" ht="15" customHeight="1" x14ac:dyDescent="0.25">
      <c r="A52" s="154"/>
      <c r="B52" s="335"/>
      <c r="C52" s="336"/>
      <c r="D52" s="341" t="s">
        <v>255</v>
      </c>
      <c r="E52" s="342"/>
      <c r="F52" s="386" t="s">
        <v>173</v>
      </c>
      <c r="G52" s="211">
        <v>0.05</v>
      </c>
      <c r="H52" s="103"/>
      <c r="I52" s="103"/>
      <c r="J52" s="103"/>
      <c r="K52" s="103"/>
      <c r="L52" s="211">
        <v>0.04</v>
      </c>
      <c r="M52" s="103"/>
      <c r="N52" s="103"/>
      <c r="O52" s="103"/>
      <c r="P52" s="103"/>
      <c r="Q52" s="211">
        <v>0.03</v>
      </c>
      <c r="R52" s="103"/>
      <c r="S52" s="103"/>
      <c r="T52" s="103"/>
      <c r="U52" s="103"/>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row>
    <row r="53" spans="1:53" x14ac:dyDescent="0.25">
      <c r="A53" s="154"/>
      <c r="B53" s="335"/>
      <c r="C53" s="336"/>
      <c r="D53" s="343"/>
      <c r="E53" s="344"/>
      <c r="F53" s="387"/>
      <c r="G53" s="104" t="s">
        <v>312</v>
      </c>
      <c r="H53" s="104" t="s">
        <v>312</v>
      </c>
      <c r="I53" s="104" t="s">
        <v>312</v>
      </c>
      <c r="J53" s="104" t="s">
        <v>312</v>
      </c>
      <c r="K53" s="104" t="s">
        <v>312</v>
      </c>
      <c r="L53" s="104" t="s">
        <v>312</v>
      </c>
      <c r="M53" s="104" t="s">
        <v>312</v>
      </c>
      <c r="N53" s="104" t="s">
        <v>312</v>
      </c>
      <c r="O53" s="104" t="s">
        <v>312</v>
      </c>
      <c r="P53" s="104" t="s">
        <v>312</v>
      </c>
      <c r="Q53" s="104" t="s">
        <v>312</v>
      </c>
      <c r="R53" s="104" t="s">
        <v>312</v>
      </c>
      <c r="S53" s="104" t="s">
        <v>312</v>
      </c>
      <c r="T53" s="104" t="s">
        <v>312</v>
      </c>
      <c r="U53" s="104" t="s">
        <v>312</v>
      </c>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row>
    <row r="54" spans="1:53" x14ac:dyDescent="0.25">
      <c r="A54" s="154"/>
      <c r="B54" s="335"/>
      <c r="C54" s="336"/>
      <c r="D54" s="339" t="s">
        <v>259</v>
      </c>
      <c r="E54" s="339"/>
      <c r="F54" s="386" t="s">
        <v>173</v>
      </c>
      <c r="G54" s="94">
        <v>1</v>
      </c>
      <c r="H54" s="103"/>
      <c r="I54" s="103"/>
      <c r="J54" s="103"/>
      <c r="K54" s="103"/>
      <c r="L54" s="94">
        <v>-1</v>
      </c>
      <c r="M54" s="103"/>
      <c r="N54" s="103"/>
      <c r="O54" s="103"/>
      <c r="P54" s="103"/>
      <c r="Q54" s="94">
        <v>-1</v>
      </c>
      <c r="R54" s="103"/>
      <c r="S54" s="103"/>
      <c r="T54" s="103"/>
      <c r="U54" s="103"/>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row>
    <row r="55" spans="1:53" x14ac:dyDescent="0.25">
      <c r="A55" s="154"/>
      <c r="B55" s="335"/>
      <c r="C55" s="336"/>
      <c r="D55" s="339"/>
      <c r="E55" s="339"/>
      <c r="F55" s="387"/>
      <c r="G55" s="104" t="s">
        <v>312</v>
      </c>
      <c r="H55" s="104" t="s">
        <v>312</v>
      </c>
      <c r="I55" s="104" t="s">
        <v>312</v>
      </c>
      <c r="J55" s="104" t="s">
        <v>312</v>
      </c>
      <c r="K55" s="104" t="s">
        <v>312</v>
      </c>
      <c r="L55" s="104" t="s">
        <v>312</v>
      </c>
      <c r="M55" s="104" t="s">
        <v>312</v>
      </c>
      <c r="N55" s="104" t="s">
        <v>312</v>
      </c>
      <c r="O55" s="104" t="s">
        <v>312</v>
      </c>
      <c r="P55" s="104" t="s">
        <v>312</v>
      </c>
      <c r="Q55" s="104" t="s">
        <v>312</v>
      </c>
      <c r="R55" s="104" t="s">
        <v>312</v>
      </c>
      <c r="S55" s="104" t="s">
        <v>312</v>
      </c>
      <c r="T55" s="104" t="s">
        <v>312</v>
      </c>
      <c r="U55" s="104" t="s">
        <v>312</v>
      </c>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row>
    <row r="56" spans="1:53" x14ac:dyDescent="0.25">
      <c r="A56" s="154"/>
      <c r="B56" s="335"/>
      <c r="C56" s="336"/>
      <c r="D56" s="339" t="s">
        <v>167</v>
      </c>
      <c r="E56" s="339"/>
      <c r="F56" s="340" t="s">
        <v>134</v>
      </c>
      <c r="G56" s="94"/>
      <c r="H56" s="103"/>
      <c r="I56" s="103"/>
      <c r="J56" s="103"/>
      <c r="K56" s="103"/>
      <c r="L56" s="94"/>
      <c r="M56" s="103"/>
      <c r="N56" s="103"/>
      <c r="O56" s="103"/>
      <c r="P56" s="103"/>
      <c r="Q56" s="94"/>
      <c r="R56" s="103"/>
      <c r="S56" s="103"/>
      <c r="T56" s="103"/>
      <c r="U56" s="103"/>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row>
    <row r="57" spans="1:53" x14ac:dyDescent="0.25">
      <c r="A57" s="154"/>
      <c r="B57" s="337"/>
      <c r="C57" s="338"/>
      <c r="D57" s="339"/>
      <c r="E57" s="339"/>
      <c r="F57" s="340"/>
      <c r="G57" s="104" t="s">
        <v>312</v>
      </c>
      <c r="H57" s="104" t="s">
        <v>312</v>
      </c>
      <c r="I57" s="104" t="s">
        <v>312</v>
      </c>
      <c r="J57" s="104" t="s">
        <v>312</v>
      </c>
      <c r="K57" s="104" t="s">
        <v>312</v>
      </c>
      <c r="L57" s="104" t="s">
        <v>312</v>
      </c>
      <c r="M57" s="104" t="s">
        <v>312</v>
      </c>
      <c r="N57" s="104" t="s">
        <v>312</v>
      </c>
      <c r="O57" s="104" t="s">
        <v>312</v>
      </c>
      <c r="P57" s="104" t="s">
        <v>312</v>
      </c>
      <c r="Q57" s="104" t="s">
        <v>312</v>
      </c>
      <c r="R57" s="104" t="s">
        <v>312</v>
      </c>
      <c r="S57" s="104" t="s">
        <v>312</v>
      </c>
      <c r="T57" s="104" t="s">
        <v>312</v>
      </c>
      <c r="U57" s="104" t="s">
        <v>312</v>
      </c>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row>
    <row r="58" spans="1:53" ht="40.5" customHeight="1" x14ac:dyDescent="0.25">
      <c r="A58" s="154"/>
      <c r="B58" s="272" t="s">
        <v>333</v>
      </c>
      <c r="C58" s="272"/>
      <c r="D58" s="331" t="s">
        <v>409</v>
      </c>
      <c r="E58" s="332"/>
      <c r="F58" s="332"/>
      <c r="G58" s="332"/>
      <c r="H58" s="332"/>
      <c r="I58" s="332"/>
      <c r="J58" s="332"/>
      <c r="K58" s="332"/>
      <c r="L58" s="332"/>
      <c r="M58" s="332"/>
      <c r="N58" s="332"/>
      <c r="O58" s="332"/>
      <c r="P58" s="332"/>
      <c r="Q58" s="332"/>
      <c r="R58" s="332"/>
      <c r="S58" s="332"/>
      <c r="T58" s="332"/>
      <c r="U58" s="332"/>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BA58" s="108" t="str">
        <f>D58</f>
        <v>For 2020, a Coefficent of Performance (CoP or the ratio of required electricity input per heat output, the combined inputs are the energy required per unit of energy output) of 21,4 is assumed (average of SDE++ data available as of 2020), for 2030, 25  (high end of SDE++ data) and, for 2050, 30. Technically, a CoP up to 50 could be reached but this would require the use of other casing materials, special pumps, etc.</v>
      </c>
    </row>
    <row r="59" spans="1:53" ht="21" customHeight="1" x14ac:dyDescent="0.25">
      <c r="A59" s="154"/>
      <c r="B59" s="346" t="s">
        <v>334</v>
      </c>
      <c r="C59" s="347"/>
      <c r="D59" s="347"/>
      <c r="E59" s="347"/>
      <c r="F59" s="347"/>
      <c r="G59" s="347"/>
      <c r="H59" s="347"/>
      <c r="I59" s="347"/>
      <c r="J59" s="347"/>
      <c r="K59" s="347"/>
      <c r="L59" s="347"/>
      <c r="M59" s="347"/>
      <c r="N59" s="347"/>
      <c r="O59" s="347"/>
      <c r="P59" s="347"/>
      <c r="Q59" s="347"/>
      <c r="R59" s="347"/>
      <c r="S59" s="347"/>
      <c r="T59" s="347"/>
      <c r="U59" s="347"/>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row>
    <row r="60" spans="1:53" ht="16.5" customHeight="1" x14ac:dyDescent="0.25">
      <c r="A60" s="154"/>
      <c r="B60" s="333" t="s">
        <v>335</v>
      </c>
      <c r="C60" s="334"/>
      <c r="D60" s="348" t="s">
        <v>336</v>
      </c>
      <c r="E60" s="349"/>
      <c r="F60" s="352" t="s">
        <v>314</v>
      </c>
      <c r="G60" s="282" t="s">
        <v>315</v>
      </c>
      <c r="H60" s="282"/>
      <c r="I60" s="282"/>
      <c r="J60" s="282"/>
      <c r="K60" s="282"/>
      <c r="L60" s="281">
        <v>2030</v>
      </c>
      <c r="M60" s="281"/>
      <c r="N60" s="281"/>
      <c r="O60" s="281"/>
      <c r="P60" s="281"/>
      <c r="Q60" s="282">
        <v>2050</v>
      </c>
      <c r="R60" s="282"/>
      <c r="S60" s="282"/>
      <c r="T60" s="282"/>
      <c r="U60" s="282"/>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row>
    <row r="61" spans="1:53" x14ac:dyDescent="0.25">
      <c r="A61" s="154"/>
      <c r="B61" s="335"/>
      <c r="C61" s="336"/>
      <c r="D61" s="350"/>
      <c r="E61" s="351"/>
      <c r="F61" s="353"/>
      <c r="G61" s="165" t="s">
        <v>306</v>
      </c>
      <c r="H61" s="165" t="s">
        <v>307</v>
      </c>
      <c r="I61" s="165" t="s">
        <v>308</v>
      </c>
      <c r="J61" s="165" t="s">
        <v>309</v>
      </c>
      <c r="K61" s="165" t="s">
        <v>310</v>
      </c>
      <c r="L61" s="164" t="s">
        <v>306</v>
      </c>
      <c r="M61" s="164" t="s">
        <v>307</v>
      </c>
      <c r="N61" s="164" t="s">
        <v>308</v>
      </c>
      <c r="O61" s="164" t="s">
        <v>309</v>
      </c>
      <c r="P61" s="164" t="s">
        <v>310</v>
      </c>
      <c r="Q61" s="165" t="s">
        <v>306</v>
      </c>
      <c r="R61" s="165" t="s">
        <v>307</v>
      </c>
      <c r="S61" s="165" t="s">
        <v>308</v>
      </c>
      <c r="T61" s="165" t="s">
        <v>309</v>
      </c>
      <c r="U61" s="165" t="s">
        <v>310</v>
      </c>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row>
    <row r="62" spans="1:53" ht="15.75" customHeight="1" x14ac:dyDescent="0.25">
      <c r="A62" s="154"/>
      <c r="B62" s="335"/>
      <c r="C62" s="336"/>
      <c r="D62" s="339" t="s">
        <v>320</v>
      </c>
      <c r="E62" s="339"/>
      <c r="F62" s="345" t="s">
        <v>320</v>
      </c>
      <c r="G62" s="94"/>
      <c r="H62" s="103"/>
      <c r="I62" s="103"/>
      <c r="J62" s="103"/>
      <c r="K62" s="103"/>
      <c r="L62" s="94"/>
      <c r="M62" s="103"/>
      <c r="N62" s="103"/>
      <c r="O62" s="103"/>
      <c r="P62" s="103"/>
      <c r="Q62" s="94"/>
      <c r="R62" s="103"/>
      <c r="S62" s="103"/>
      <c r="T62" s="103"/>
      <c r="U62" s="103"/>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row>
    <row r="63" spans="1:53" x14ac:dyDescent="0.25">
      <c r="A63" s="154"/>
      <c r="B63" s="335"/>
      <c r="C63" s="336"/>
      <c r="D63" s="339"/>
      <c r="E63" s="339"/>
      <c r="F63" s="345"/>
      <c r="G63" s="105" t="s">
        <v>312</v>
      </c>
      <c r="H63" s="104" t="s">
        <v>312</v>
      </c>
      <c r="I63" s="104" t="s">
        <v>312</v>
      </c>
      <c r="J63" s="104" t="s">
        <v>312</v>
      </c>
      <c r="K63" s="104" t="s">
        <v>312</v>
      </c>
      <c r="L63" s="105" t="s">
        <v>312</v>
      </c>
      <c r="M63" s="104" t="s">
        <v>312</v>
      </c>
      <c r="N63" s="104" t="s">
        <v>312</v>
      </c>
      <c r="O63" s="104" t="s">
        <v>312</v>
      </c>
      <c r="P63" s="104" t="s">
        <v>312</v>
      </c>
      <c r="Q63" s="105" t="s">
        <v>312</v>
      </c>
      <c r="R63" s="104" t="s">
        <v>312</v>
      </c>
      <c r="S63" s="104" t="s">
        <v>312</v>
      </c>
      <c r="T63" s="104" t="s">
        <v>312</v>
      </c>
      <c r="U63" s="104" t="s">
        <v>312</v>
      </c>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row>
    <row r="64" spans="1:53" x14ac:dyDescent="0.25">
      <c r="A64" s="154"/>
      <c r="B64" s="335"/>
      <c r="C64" s="336"/>
      <c r="D64" s="339" t="s">
        <v>320</v>
      </c>
      <c r="E64" s="339"/>
      <c r="F64" s="345" t="s">
        <v>320</v>
      </c>
      <c r="G64" s="94"/>
      <c r="H64" s="103"/>
      <c r="I64" s="103"/>
      <c r="J64" s="103"/>
      <c r="K64" s="103"/>
      <c r="L64" s="94"/>
      <c r="M64" s="103"/>
      <c r="N64" s="103"/>
      <c r="O64" s="103"/>
      <c r="P64" s="103"/>
      <c r="Q64" s="94"/>
      <c r="R64" s="103"/>
      <c r="S64" s="103"/>
      <c r="T64" s="103"/>
      <c r="U64" s="103"/>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row>
    <row r="65" spans="1:53" x14ac:dyDescent="0.25">
      <c r="A65" s="154"/>
      <c r="B65" s="337"/>
      <c r="C65" s="338"/>
      <c r="D65" s="339"/>
      <c r="E65" s="339"/>
      <c r="F65" s="345"/>
      <c r="G65" s="104" t="s">
        <v>312</v>
      </c>
      <c r="H65" s="104" t="s">
        <v>312</v>
      </c>
      <c r="I65" s="104" t="s">
        <v>312</v>
      </c>
      <c r="J65" s="104" t="s">
        <v>312</v>
      </c>
      <c r="K65" s="104" t="s">
        <v>312</v>
      </c>
      <c r="L65" s="104" t="s">
        <v>312</v>
      </c>
      <c r="M65" s="104" t="s">
        <v>312</v>
      </c>
      <c r="N65" s="104" t="s">
        <v>312</v>
      </c>
      <c r="O65" s="104" t="s">
        <v>312</v>
      </c>
      <c r="P65" s="104" t="s">
        <v>312</v>
      </c>
      <c r="Q65" s="104" t="s">
        <v>312</v>
      </c>
      <c r="R65" s="104" t="s">
        <v>312</v>
      </c>
      <c r="S65" s="104" t="s">
        <v>312</v>
      </c>
      <c r="T65" s="104" t="s">
        <v>312</v>
      </c>
      <c r="U65" s="104" t="s">
        <v>312</v>
      </c>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row>
    <row r="66" spans="1:53" ht="40.5" customHeight="1" x14ac:dyDescent="0.25">
      <c r="A66" s="154"/>
      <c r="B66" s="272" t="s">
        <v>337</v>
      </c>
      <c r="C66" s="272"/>
      <c r="D66" s="332" t="s">
        <v>338</v>
      </c>
      <c r="E66" s="332"/>
      <c r="F66" s="332"/>
      <c r="G66" s="332"/>
      <c r="H66" s="332"/>
      <c r="I66" s="332"/>
      <c r="J66" s="332"/>
      <c r="K66" s="332"/>
      <c r="L66" s="332"/>
      <c r="M66" s="332"/>
      <c r="N66" s="332"/>
      <c r="O66" s="332"/>
      <c r="P66" s="332"/>
      <c r="Q66" s="332"/>
      <c r="R66" s="332"/>
      <c r="S66" s="332"/>
      <c r="T66" s="332"/>
      <c r="U66" s="332"/>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BA66" s="108" t="str">
        <f>D66</f>
        <v>Explain here</v>
      </c>
    </row>
    <row r="67" spans="1:53" ht="21" customHeight="1" x14ac:dyDescent="0.25">
      <c r="A67" s="154"/>
      <c r="B67" s="322" t="s">
        <v>339</v>
      </c>
      <c r="C67" s="322"/>
      <c r="D67" s="322"/>
      <c r="E67" s="322"/>
      <c r="F67" s="322"/>
      <c r="G67" s="322"/>
      <c r="H67" s="322"/>
      <c r="I67" s="322"/>
      <c r="J67" s="322"/>
      <c r="K67" s="322"/>
      <c r="L67" s="322"/>
      <c r="M67" s="322"/>
      <c r="N67" s="322"/>
      <c r="O67" s="322"/>
      <c r="P67" s="322"/>
      <c r="Q67" s="322"/>
      <c r="R67" s="322"/>
      <c r="S67" s="322"/>
      <c r="T67" s="322"/>
      <c r="U67" s="322"/>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row>
    <row r="68" spans="1:53" ht="16.5" customHeight="1" x14ac:dyDescent="0.25">
      <c r="A68" s="154"/>
      <c r="B68" s="364" t="s">
        <v>109</v>
      </c>
      <c r="C68" s="364"/>
      <c r="D68" s="330" t="s">
        <v>340</v>
      </c>
      <c r="E68" s="330"/>
      <c r="F68" s="330" t="s">
        <v>314</v>
      </c>
      <c r="G68" s="282" t="s">
        <v>315</v>
      </c>
      <c r="H68" s="282"/>
      <c r="I68" s="282"/>
      <c r="J68" s="282"/>
      <c r="K68" s="282"/>
      <c r="L68" s="281">
        <v>2030</v>
      </c>
      <c r="M68" s="281"/>
      <c r="N68" s="281"/>
      <c r="O68" s="281"/>
      <c r="P68" s="281"/>
      <c r="Q68" s="282">
        <v>2050</v>
      </c>
      <c r="R68" s="282"/>
      <c r="S68" s="282"/>
      <c r="T68" s="282"/>
      <c r="U68" s="282"/>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row>
    <row r="69" spans="1:53" ht="15.75" customHeight="1" x14ac:dyDescent="0.25">
      <c r="A69" s="154"/>
      <c r="B69" s="364"/>
      <c r="C69" s="364"/>
      <c r="D69" s="330"/>
      <c r="E69" s="330"/>
      <c r="F69" s="330"/>
      <c r="G69" s="165" t="s">
        <v>306</v>
      </c>
      <c r="H69" s="165" t="s">
        <v>307</v>
      </c>
      <c r="I69" s="165" t="s">
        <v>308</v>
      </c>
      <c r="J69" s="165" t="s">
        <v>309</v>
      </c>
      <c r="K69" s="165" t="s">
        <v>310</v>
      </c>
      <c r="L69" s="164" t="s">
        <v>306</v>
      </c>
      <c r="M69" s="164" t="s">
        <v>307</v>
      </c>
      <c r="N69" s="164" t="s">
        <v>308</v>
      </c>
      <c r="O69" s="164" t="s">
        <v>309</v>
      </c>
      <c r="P69" s="164" t="s">
        <v>310</v>
      </c>
      <c r="Q69" s="165" t="s">
        <v>306</v>
      </c>
      <c r="R69" s="165" t="s">
        <v>307</v>
      </c>
      <c r="S69" s="165" t="s">
        <v>308</v>
      </c>
      <c r="T69" s="165" t="s">
        <v>309</v>
      </c>
      <c r="U69" s="165" t="s">
        <v>310</v>
      </c>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row>
    <row r="70" spans="1:53" ht="15.75" customHeight="1" x14ac:dyDescent="0.25">
      <c r="A70" s="154"/>
      <c r="B70" s="364"/>
      <c r="C70" s="364"/>
      <c r="D70" s="339" t="s">
        <v>167</v>
      </c>
      <c r="E70" s="339"/>
      <c r="F70" s="345" t="s">
        <v>167</v>
      </c>
      <c r="G70" s="94"/>
      <c r="H70" s="103"/>
      <c r="I70" s="103"/>
      <c r="J70" s="103"/>
      <c r="K70" s="103"/>
      <c r="L70" s="94"/>
      <c r="M70" s="103"/>
      <c r="N70" s="103"/>
      <c r="O70" s="103"/>
      <c r="P70" s="103"/>
      <c r="Q70" s="94"/>
      <c r="R70" s="103"/>
      <c r="S70" s="103"/>
      <c r="T70" s="103"/>
      <c r="U70" s="103"/>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row>
    <row r="71" spans="1:53" ht="15.75" customHeight="1" x14ac:dyDescent="0.25">
      <c r="A71" s="154"/>
      <c r="B71" s="364"/>
      <c r="C71" s="364"/>
      <c r="D71" s="339"/>
      <c r="E71" s="339"/>
      <c r="F71" s="345"/>
      <c r="G71" s="105" t="s">
        <v>312</v>
      </c>
      <c r="H71" s="104" t="s">
        <v>312</v>
      </c>
      <c r="I71" s="104" t="s">
        <v>312</v>
      </c>
      <c r="J71" s="104" t="s">
        <v>312</v>
      </c>
      <c r="K71" s="104" t="s">
        <v>312</v>
      </c>
      <c r="L71" s="105" t="s">
        <v>312</v>
      </c>
      <c r="M71" s="104" t="s">
        <v>312</v>
      </c>
      <c r="N71" s="104" t="s">
        <v>312</v>
      </c>
      <c r="O71" s="104" t="s">
        <v>312</v>
      </c>
      <c r="P71" s="104" t="s">
        <v>312</v>
      </c>
      <c r="Q71" s="105" t="s">
        <v>312</v>
      </c>
      <c r="R71" s="104" t="s">
        <v>312</v>
      </c>
      <c r="S71" s="104" t="s">
        <v>312</v>
      </c>
      <c r="T71" s="104" t="s">
        <v>312</v>
      </c>
      <c r="U71" s="104" t="s">
        <v>312</v>
      </c>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row>
    <row r="72" spans="1:53" ht="15.75" customHeight="1" x14ac:dyDescent="0.25">
      <c r="A72" s="154"/>
      <c r="B72" s="364"/>
      <c r="C72" s="364"/>
      <c r="D72" s="339" t="s">
        <v>167</v>
      </c>
      <c r="E72" s="339"/>
      <c r="F72" s="345" t="s">
        <v>167</v>
      </c>
      <c r="G72" s="94"/>
      <c r="H72" s="103"/>
      <c r="I72" s="103"/>
      <c r="J72" s="103"/>
      <c r="K72" s="103"/>
      <c r="L72" s="94"/>
      <c r="M72" s="103"/>
      <c r="N72" s="103"/>
      <c r="O72" s="103"/>
      <c r="P72" s="103"/>
      <c r="Q72" s="94"/>
      <c r="R72" s="103"/>
      <c r="S72" s="103"/>
      <c r="T72" s="103"/>
      <c r="U72" s="103"/>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row>
    <row r="73" spans="1:53" ht="15.75" customHeight="1" x14ac:dyDescent="0.25">
      <c r="A73" s="154"/>
      <c r="B73" s="364"/>
      <c r="C73" s="364"/>
      <c r="D73" s="339"/>
      <c r="E73" s="339"/>
      <c r="F73" s="345"/>
      <c r="G73" s="104" t="s">
        <v>312</v>
      </c>
      <c r="H73" s="104" t="s">
        <v>312</v>
      </c>
      <c r="I73" s="104" t="s">
        <v>312</v>
      </c>
      <c r="J73" s="104" t="s">
        <v>312</v>
      </c>
      <c r="K73" s="104" t="s">
        <v>312</v>
      </c>
      <c r="L73" s="104" t="s">
        <v>312</v>
      </c>
      <c r="M73" s="104" t="s">
        <v>312</v>
      </c>
      <c r="N73" s="104" t="s">
        <v>312</v>
      </c>
      <c r="O73" s="104" t="s">
        <v>312</v>
      </c>
      <c r="P73" s="104" t="s">
        <v>312</v>
      </c>
      <c r="Q73" s="104" t="s">
        <v>312</v>
      </c>
      <c r="R73" s="104" t="s">
        <v>312</v>
      </c>
      <c r="S73" s="104" t="s">
        <v>312</v>
      </c>
      <c r="T73" s="104" t="s">
        <v>312</v>
      </c>
      <c r="U73" s="104" t="s">
        <v>312</v>
      </c>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row>
    <row r="74" spans="1:53" ht="15.75" customHeight="1" x14ac:dyDescent="0.25">
      <c r="A74" s="154"/>
      <c r="B74" s="364"/>
      <c r="C74" s="364"/>
      <c r="D74" s="339" t="s">
        <v>167</v>
      </c>
      <c r="E74" s="339"/>
      <c r="F74" s="345" t="s">
        <v>167</v>
      </c>
      <c r="G74" s="94"/>
      <c r="H74" s="103"/>
      <c r="I74" s="103"/>
      <c r="J74" s="103"/>
      <c r="K74" s="103"/>
      <c r="L74" s="94"/>
      <c r="M74" s="103"/>
      <c r="N74" s="103"/>
      <c r="O74" s="103"/>
      <c r="P74" s="103"/>
      <c r="Q74" s="94"/>
      <c r="R74" s="103"/>
      <c r="S74" s="103"/>
      <c r="T74" s="103"/>
      <c r="U74" s="103"/>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row>
    <row r="75" spans="1:53" ht="15.75" customHeight="1" x14ac:dyDescent="0.25">
      <c r="A75" s="154"/>
      <c r="B75" s="364"/>
      <c r="C75" s="364"/>
      <c r="D75" s="339"/>
      <c r="E75" s="339"/>
      <c r="F75" s="345"/>
      <c r="G75" s="104" t="s">
        <v>312</v>
      </c>
      <c r="H75" s="104" t="s">
        <v>312</v>
      </c>
      <c r="I75" s="104" t="s">
        <v>312</v>
      </c>
      <c r="J75" s="104" t="s">
        <v>312</v>
      </c>
      <c r="K75" s="104" t="s">
        <v>312</v>
      </c>
      <c r="L75" s="104" t="s">
        <v>312</v>
      </c>
      <c r="M75" s="104" t="s">
        <v>312</v>
      </c>
      <c r="N75" s="104" t="s">
        <v>312</v>
      </c>
      <c r="O75" s="104" t="s">
        <v>312</v>
      </c>
      <c r="P75" s="104" t="s">
        <v>312</v>
      </c>
      <c r="Q75" s="104" t="s">
        <v>312</v>
      </c>
      <c r="R75" s="104" t="s">
        <v>312</v>
      </c>
      <c r="S75" s="104" t="s">
        <v>312</v>
      </c>
      <c r="T75" s="104" t="s">
        <v>312</v>
      </c>
      <c r="U75" s="104" t="s">
        <v>312</v>
      </c>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row>
    <row r="76" spans="1:53" ht="15.75" customHeight="1" x14ac:dyDescent="0.25">
      <c r="A76" s="154"/>
      <c r="B76" s="364"/>
      <c r="C76" s="364"/>
      <c r="D76" s="339" t="s">
        <v>167</v>
      </c>
      <c r="E76" s="339"/>
      <c r="F76" s="345" t="s">
        <v>167</v>
      </c>
      <c r="G76" s="94"/>
      <c r="H76" s="103"/>
      <c r="I76" s="103"/>
      <c r="J76" s="103"/>
      <c r="K76" s="103"/>
      <c r="L76" s="94"/>
      <c r="M76" s="103"/>
      <c r="N76" s="103"/>
      <c r="O76" s="103"/>
      <c r="P76" s="103"/>
      <c r="Q76" s="94"/>
      <c r="R76" s="103"/>
      <c r="S76" s="103"/>
      <c r="T76" s="103"/>
      <c r="U76" s="103"/>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row>
    <row r="77" spans="1:53" ht="16.5" customHeight="1" x14ac:dyDescent="0.25">
      <c r="A77" s="154"/>
      <c r="B77" s="364"/>
      <c r="C77" s="364"/>
      <c r="D77" s="339"/>
      <c r="E77" s="339"/>
      <c r="F77" s="345"/>
      <c r="G77" s="104" t="s">
        <v>312</v>
      </c>
      <c r="H77" s="104" t="s">
        <v>312</v>
      </c>
      <c r="I77" s="104" t="s">
        <v>312</v>
      </c>
      <c r="J77" s="104" t="s">
        <v>312</v>
      </c>
      <c r="K77" s="104" t="s">
        <v>312</v>
      </c>
      <c r="L77" s="104" t="s">
        <v>312</v>
      </c>
      <c r="M77" s="104" t="s">
        <v>312</v>
      </c>
      <c r="N77" s="104" t="s">
        <v>312</v>
      </c>
      <c r="O77" s="104" t="s">
        <v>312</v>
      </c>
      <c r="P77" s="104" t="s">
        <v>312</v>
      </c>
      <c r="Q77" s="104" t="s">
        <v>312</v>
      </c>
      <c r="R77" s="104" t="s">
        <v>312</v>
      </c>
      <c r="S77" s="104" t="s">
        <v>312</v>
      </c>
      <c r="T77" s="104" t="s">
        <v>312</v>
      </c>
      <c r="U77" s="104" t="s">
        <v>312</v>
      </c>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row>
    <row r="78" spans="1:53" ht="40.5" customHeight="1" x14ac:dyDescent="0.25">
      <c r="A78" s="154"/>
      <c r="B78" s="272" t="s">
        <v>341</v>
      </c>
      <c r="C78" s="272"/>
      <c r="D78" s="269" t="s">
        <v>480</v>
      </c>
      <c r="E78" s="270"/>
      <c r="F78" s="270"/>
      <c r="G78" s="270"/>
      <c r="H78" s="270"/>
      <c r="I78" s="270"/>
      <c r="J78" s="270"/>
      <c r="K78" s="270"/>
      <c r="L78" s="270"/>
      <c r="M78" s="270"/>
      <c r="N78" s="270"/>
      <c r="O78" s="270"/>
      <c r="P78" s="270"/>
      <c r="Q78" s="270"/>
      <c r="R78" s="270"/>
      <c r="S78" s="270"/>
      <c r="T78" s="270"/>
      <c r="U78" s="271"/>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BA78" s="108" t="str">
        <f>D78</f>
        <v>Some CH4 emissions could occur while degassing or decompressing the hot brine water from the production well. However, no information is available about the possible leakage rate.  TNO is currently doing research on this matter.  If the gas separator is not working properly, or the separated gas is not completely combusted, CH4 emissions could also occur.</v>
      </c>
    </row>
    <row r="79" spans="1:53" ht="21" customHeight="1" x14ac:dyDescent="0.25">
      <c r="A79" s="154"/>
      <c r="B79" s="354" t="s">
        <v>343</v>
      </c>
      <c r="C79" s="355"/>
      <c r="D79" s="355"/>
      <c r="E79" s="355"/>
      <c r="F79" s="355"/>
      <c r="G79" s="355"/>
      <c r="H79" s="355"/>
      <c r="I79" s="355"/>
      <c r="J79" s="355"/>
      <c r="K79" s="355"/>
      <c r="L79" s="355"/>
      <c r="M79" s="355"/>
      <c r="N79" s="355"/>
      <c r="O79" s="355"/>
      <c r="P79" s="355"/>
      <c r="Q79" s="355"/>
      <c r="R79" s="355"/>
      <c r="S79" s="355"/>
      <c r="T79" s="355"/>
      <c r="U79" s="356"/>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row>
    <row r="80" spans="1:53" ht="15.75" customHeight="1" x14ac:dyDescent="0.25">
      <c r="A80" s="154"/>
      <c r="B80" s="326" t="s">
        <v>344</v>
      </c>
      <c r="C80" s="327"/>
      <c r="D80" s="357" t="s">
        <v>314</v>
      </c>
      <c r="E80" s="358"/>
      <c r="F80" s="359"/>
      <c r="G80" s="282" t="s">
        <v>315</v>
      </c>
      <c r="H80" s="282"/>
      <c r="I80" s="282"/>
      <c r="J80" s="282"/>
      <c r="K80" s="282"/>
      <c r="L80" s="281">
        <v>2030</v>
      </c>
      <c r="M80" s="281"/>
      <c r="N80" s="281"/>
      <c r="O80" s="281"/>
      <c r="P80" s="281"/>
      <c r="Q80" s="282">
        <v>2050</v>
      </c>
      <c r="R80" s="282"/>
      <c r="S80" s="282"/>
      <c r="T80" s="282"/>
      <c r="U80" s="282"/>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row>
    <row r="81" spans="1:53" x14ac:dyDescent="0.25">
      <c r="A81" s="154"/>
      <c r="B81" s="328"/>
      <c r="C81" s="329"/>
      <c r="D81" s="360"/>
      <c r="E81" s="361"/>
      <c r="F81" s="362"/>
      <c r="G81" s="165" t="s">
        <v>306</v>
      </c>
      <c r="H81" s="165" t="s">
        <v>307</v>
      </c>
      <c r="I81" s="165" t="s">
        <v>308</v>
      </c>
      <c r="J81" s="165" t="s">
        <v>309</v>
      </c>
      <c r="K81" s="165" t="s">
        <v>310</v>
      </c>
      <c r="L81" s="164" t="s">
        <v>306</v>
      </c>
      <c r="M81" s="164" t="s">
        <v>307</v>
      </c>
      <c r="N81" s="164" t="s">
        <v>308</v>
      </c>
      <c r="O81" s="164" t="s">
        <v>309</v>
      </c>
      <c r="P81" s="164" t="s">
        <v>310</v>
      </c>
      <c r="Q81" s="165" t="s">
        <v>306</v>
      </c>
      <c r="R81" s="165" t="s">
        <v>307</v>
      </c>
      <c r="S81" s="165" t="s">
        <v>308</v>
      </c>
      <c r="T81" s="165" t="s">
        <v>309</v>
      </c>
      <c r="U81" s="165" t="s">
        <v>310</v>
      </c>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row>
    <row r="82" spans="1:53" x14ac:dyDescent="0.25">
      <c r="A82" s="154"/>
      <c r="B82" s="365" t="s">
        <v>345</v>
      </c>
      <c r="C82" s="366"/>
      <c r="D82" s="305" t="s">
        <v>320</v>
      </c>
      <c r="E82" s="305"/>
      <c r="F82" s="305"/>
      <c r="G82" s="94"/>
      <c r="H82" s="103"/>
      <c r="I82" s="103"/>
      <c r="J82" s="103"/>
      <c r="K82" s="103"/>
      <c r="L82" s="94"/>
      <c r="M82" s="103"/>
      <c r="N82" s="103"/>
      <c r="O82" s="103"/>
      <c r="P82" s="103"/>
      <c r="Q82" s="94"/>
      <c r="R82" s="103"/>
      <c r="S82" s="103"/>
      <c r="T82" s="103"/>
      <c r="U82" s="103"/>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row>
    <row r="83" spans="1:53" x14ac:dyDescent="0.25">
      <c r="A83" s="154"/>
      <c r="B83" s="367"/>
      <c r="C83" s="368"/>
      <c r="D83" s="305"/>
      <c r="E83" s="305"/>
      <c r="F83" s="305"/>
      <c r="G83" s="105" t="s">
        <v>312</v>
      </c>
      <c r="H83" s="104" t="s">
        <v>312</v>
      </c>
      <c r="I83" s="104" t="s">
        <v>312</v>
      </c>
      <c r="J83" s="104" t="s">
        <v>312</v>
      </c>
      <c r="K83" s="104" t="s">
        <v>312</v>
      </c>
      <c r="L83" s="105" t="s">
        <v>312</v>
      </c>
      <c r="M83" s="104" t="s">
        <v>312</v>
      </c>
      <c r="N83" s="104" t="s">
        <v>312</v>
      </c>
      <c r="O83" s="104" t="s">
        <v>312</v>
      </c>
      <c r="P83" s="104" t="s">
        <v>312</v>
      </c>
      <c r="Q83" s="105" t="s">
        <v>312</v>
      </c>
      <c r="R83" s="104" t="s">
        <v>312</v>
      </c>
      <c r="S83" s="104" t="s">
        <v>312</v>
      </c>
      <c r="T83" s="104" t="s">
        <v>312</v>
      </c>
      <c r="U83" s="104" t="s">
        <v>312</v>
      </c>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row>
    <row r="84" spans="1:53" x14ac:dyDescent="0.25">
      <c r="A84" s="154"/>
      <c r="B84" s="365" t="s">
        <v>345</v>
      </c>
      <c r="C84" s="366"/>
      <c r="D84" s="305" t="s">
        <v>320</v>
      </c>
      <c r="E84" s="305"/>
      <c r="F84" s="305"/>
      <c r="G84" s="94"/>
      <c r="H84" s="103"/>
      <c r="I84" s="103"/>
      <c r="J84" s="103"/>
      <c r="K84" s="103"/>
      <c r="L84" s="94"/>
      <c r="M84" s="103"/>
      <c r="N84" s="103"/>
      <c r="O84" s="103"/>
      <c r="P84" s="103"/>
      <c r="Q84" s="94"/>
      <c r="R84" s="103"/>
      <c r="S84" s="103"/>
      <c r="T84" s="103"/>
      <c r="U84" s="103"/>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row>
    <row r="85" spans="1:53" x14ac:dyDescent="0.25">
      <c r="A85" s="154"/>
      <c r="B85" s="367"/>
      <c r="C85" s="368"/>
      <c r="D85" s="305"/>
      <c r="E85" s="305"/>
      <c r="F85" s="305"/>
      <c r="G85" s="104" t="s">
        <v>312</v>
      </c>
      <c r="H85" s="104" t="s">
        <v>312</v>
      </c>
      <c r="I85" s="104" t="s">
        <v>312</v>
      </c>
      <c r="J85" s="104" t="s">
        <v>312</v>
      </c>
      <c r="K85" s="104" t="s">
        <v>312</v>
      </c>
      <c r="L85" s="104" t="s">
        <v>312</v>
      </c>
      <c r="M85" s="104" t="s">
        <v>312</v>
      </c>
      <c r="N85" s="104" t="s">
        <v>312</v>
      </c>
      <c r="O85" s="104" t="s">
        <v>312</v>
      </c>
      <c r="P85" s="104" t="s">
        <v>312</v>
      </c>
      <c r="Q85" s="104" t="s">
        <v>312</v>
      </c>
      <c r="R85" s="104" t="s">
        <v>312</v>
      </c>
      <c r="S85" s="104" t="s">
        <v>312</v>
      </c>
      <c r="T85" s="104" t="s">
        <v>312</v>
      </c>
      <c r="U85" s="104" t="s">
        <v>312</v>
      </c>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row>
    <row r="86" spans="1:53" x14ac:dyDescent="0.25">
      <c r="A86" s="154"/>
      <c r="B86" s="365" t="s">
        <v>345</v>
      </c>
      <c r="C86" s="366"/>
      <c r="D86" s="305" t="s">
        <v>320</v>
      </c>
      <c r="E86" s="305"/>
      <c r="F86" s="305"/>
      <c r="G86" s="94"/>
      <c r="H86" s="103"/>
      <c r="I86" s="103"/>
      <c r="J86" s="103"/>
      <c r="K86" s="103"/>
      <c r="L86" s="94"/>
      <c r="M86" s="103"/>
      <c r="N86" s="103"/>
      <c r="O86" s="103"/>
      <c r="P86" s="103"/>
      <c r="Q86" s="94"/>
      <c r="R86" s="103"/>
      <c r="S86" s="103"/>
      <c r="T86" s="103"/>
      <c r="U86" s="103"/>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row>
    <row r="87" spans="1:53" x14ac:dyDescent="0.25">
      <c r="A87" s="154"/>
      <c r="B87" s="367"/>
      <c r="C87" s="368"/>
      <c r="D87" s="305"/>
      <c r="E87" s="305"/>
      <c r="F87" s="305"/>
      <c r="G87" s="104" t="s">
        <v>312</v>
      </c>
      <c r="H87" s="104" t="s">
        <v>312</v>
      </c>
      <c r="I87" s="104" t="s">
        <v>312</v>
      </c>
      <c r="J87" s="104" t="s">
        <v>312</v>
      </c>
      <c r="K87" s="104" t="s">
        <v>312</v>
      </c>
      <c r="L87" s="104" t="s">
        <v>312</v>
      </c>
      <c r="M87" s="104" t="s">
        <v>312</v>
      </c>
      <c r="N87" s="104" t="s">
        <v>312</v>
      </c>
      <c r="O87" s="104" t="s">
        <v>312</v>
      </c>
      <c r="P87" s="104" t="s">
        <v>312</v>
      </c>
      <c r="Q87" s="104" t="s">
        <v>312</v>
      </c>
      <c r="R87" s="104" t="s">
        <v>312</v>
      </c>
      <c r="S87" s="104" t="s">
        <v>312</v>
      </c>
      <c r="T87" s="104" t="s">
        <v>312</v>
      </c>
      <c r="U87" s="104" t="s">
        <v>312</v>
      </c>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row>
    <row r="88" spans="1:53" x14ac:dyDescent="0.25">
      <c r="A88" s="154"/>
      <c r="B88" s="365" t="s">
        <v>345</v>
      </c>
      <c r="C88" s="366"/>
      <c r="D88" s="305" t="s">
        <v>320</v>
      </c>
      <c r="E88" s="305"/>
      <c r="F88" s="305"/>
      <c r="G88" s="94"/>
      <c r="H88" s="103"/>
      <c r="I88" s="103"/>
      <c r="J88" s="103"/>
      <c r="K88" s="103"/>
      <c r="L88" s="94"/>
      <c r="M88" s="103"/>
      <c r="N88" s="103"/>
      <c r="O88" s="103"/>
      <c r="P88" s="103"/>
      <c r="Q88" s="94"/>
      <c r="R88" s="103"/>
      <c r="S88" s="103"/>
      <c r="T88" s="103"/>
      <c r="U88" s="103"/>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row>
    <row r="89" spans="1:53" x14ac:dyDescent="0.25">
      <c r="A89" s="154"/>
      <c r="B89" s="367"/>
      <c r="C89" s="368"/>
      <c r="D89" s="305"/>
      <c r="E89" s="305"/>
      <c r="F89" s="305"/>
      <c r="G89" s="104" t="s">
        <v>312</v>
      </c>
      <c r="H89" s="104" t="s">
        <v>312</v>
      </c>
      <c r="I89" s="104" t="s">
        <v>312</v>
      </c>
      <c r="J89" s="104" t="s">
        <v>312</v>
      </c>
      <c r="K89" s="104" t="s">
        <v>312</v>
      </c>
      <c r="L89" s="104" t="s">
        <v>312</v>
      </c>
      <c r="M89" s="104" t="s">
        <v>312</v>
      </c>
      <c r="N89" s="104" t="s">
        <v>312</v>
      </c>
      <c r="O89" s="104" t="s">
        <v>312</v>
      </c>
      <c r="P89" s="104" t="s">
        <v>312</v>
      </c>
      <c r="Q89" s="104" t="s">
        <v>312</v>
      </c>
      <c r="R89" s="104" t="s">
        <v>312</v>
      </c>
      <c r="S89" s="104" t="s">
        <v>312</v>
      </c>
      <c r="T89" s="104" t="s">
        <v>312</v>
      </c>
      <c r="U89" s="104" t="s">
        <v>312</v>
      </c>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row>
    <row r="90" spans="1:53" ht="36.75" customHeight="1" x14ac:dyDescent="0.25">
      <c r="A90" s="154"/>
      <c r="B90" s="272" t="s">
        <v>322</v>
      </c>
      <c r="C90" s="272"/>
      <c r="D90" s="363" t="s">
        <v>338</v>
      </c>
      <c r="E90" s="270"/>
      <c r="F90" s="270"/>
      <c r="G90" s="270"/>
      <c r="H90" s="270"/>
      <c r="I90" s="270"/>
      <c r="J90" s="270"/>
      <c r="K90" s="270"/>
      <c r="L90" s="270"/>
      <c r="M90" s="270"/>
      <c r="N90" s="270"/>
      <c r="O90" s="270"/>
      <c r="P90" s="270"/>
      <c r="Q90" s="270"/>
      <c r="R90" s="270"/>
      <c r="S90" s="270"/>
      <c r="T90" s="270"/>
      <c r="U90" s="271"/>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row>
    <row r="91" spans="1:53" ht="21" customHeight="1" x14ac:dyDescent="0.25">
      <c r="A91" s="154"/>
      <c r="B91" s="354" t="s">
        <v>116</v>
      </c>
      <c r="C91" s="355"/>
      <c r="D91" s="355"/>
      <c r="E91" s="355"/>
      <c r="F91" s="355"/>
      <c r="G91" s="355"/>
      <c r="H91" s="355"/>
      <c r="I91" s="355"/>
      <c r="J91" s="355"/>
      <c r="K91" s="355"/>
      <c r="L91" s="355"/>
      <c r="M91" s="355"/>
      <c r="N91" s="355"/>
      <c r="O91" s="355"/>
      <c r="P91" s="355"/>
      <c r="Q91" s="355"/>
      <c r="R91" s="355"/>
      <c r="S91" s="355"/>
      <c r="T91" s="355"/>
      <c r="U91" s="356"/>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row>
    <row r="92" spans="1:53" ht="15" customHeight="1" x14ac:dyDescent="0.25">
      <c r="A92" s="154"/>
      <c r="B92" s="83">
        <v>1</v>
      </c>
      <c r="C92" s="369" t="s">
        <v>405</v>
      </c>
      <c r="D92" s="369"/>
      <c r="E92" s="369"/>
      <c r="F92" s="369"/>
      <c r="G92" s="369"/>
      <c r="H92" s="369"/>
      <c r="I92" s="369"/>
      <c r="J92" s="369"/>
      <c r="K92" s="369"/>
      <c r="L92" s="369"/>
      <c r="M92" s="369"/>
      <c r="N92" s="369"/>
      <c r="O92" s="369"/>
      <c r="P92" s="369"/>
      <c r="Q92" s="369"/>
      <c r="R92" s="369"/>
      <c r="S92" s="369"/>
      <c r="T92" s="369"/>
      <c r="U92" s="369"/>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BA92" s="108" t="str">
        <f>C92</f>
        <v>SDE+2021: Eindadvies Basisbedragen SDE+ 2021, PBL 2021.</v>
      </c>
    </row>
    <row r="93" spans="1:53" ht="15" customHeight="1" x14ac:dyDescent="0.25">
      <c r="A93" s="154"/>
      <c r="B93" s="83">
        <v>2</v>
      </c>
      <c r="C93" s="369" t="s">
        <v>406</v>
      </c>
      <c r="D93" s="369"/>
      <c r="E93" s="369"/>
      <c r="F93" s="369"/>
      <c r="G93" s="369"/>
      <c r="H93" s="369"/>
      <c r="I93" s="369"/>
      <c r="J93" s="369"/>
      <c r="K93" s="369"/>
      <c r="L93" s="369"/>
      <c r="M93" s="369"/>
      <c r="N93" s="369"/>
      <c r="O93" s="369"/>
      <c r="P93" s="369"/>
      <c r="Q93" s="369"/>
      <c r="R93" s="369"/>
      <c r="S93" s="369"/>
      <c r="T93" s="369"/>
      <c r="U93" s="369"/>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BA93" s="108" t="str">
        <f t="shared" ref="BA93:BA102" si="0">C93</f>
        <v>SPG 2018: Masterplan Aardwarmte in Nederland, SPG, DAGO, WN, EBN, 2018.</v>
      </c>
    </row>
    <row r="94" spans="1:53" ht="15" customHeight="1" x14ac:dyDescent="0.25">
      <c r="A94" s="154"/>
      <c r="B94" s="83">
        <v>3</v>
      </c>
      <c r="C94" s="371" t="s">
        <v>346</v>
      </c>
      <c r="D94" s="369"/>
      <c r="E94" s="369"/>
      <c r="F94" s="369"/>
      <c r="G94" s="369"/>
      <c r="H94" s="369"/>
      <c r="I94" s="369"/>
      <c r="J94" s="369"/>
      <c r="K94" s="369"/>
      <c r="L94" s="369"/>
      <c r="M94" s="369"/>
      <c r="N94" s="369"/>
      <c r="O94" s="369"/>
      <c r="P94" s="369"/>
      <c r="Q94" s="369"/>
      <c r="R94" s="369"/>
      <c r="S94" s="369"/>
      <c r="T94" s="369"/>
      <c r="U94" s="369"/>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BA94" s="108" t="str">
        <f t="shared" si="0"/>
        <v>https://www.geothermie.nl/index.php/nl/</v>
      </c>
    </row>
    <row r="95" spans="1:53" ht="15" customHeight="1" x14ac:dyDescent="0.25">
      <c r="A95" s="154"/>
      <c r="B95" s="83">
        <v>4</v>
      </c>
      <c r="C95" s="369" t="s">
        <v>404</v>
      </c>
      <c r="D95" s="369"/>
      <c r="E95" s="369"/>
      <c r="F95" s="369"/>
      <c r="G95" s="369"/>
      <c r="H95" s="369"/>
      <c r="I95" s="369"/>
      <c r="J95" s="369"/>
      <c r="K95" s="369"/>
      <c r="L95" s="369"/>
      <c r="M95" s="369"/>
      <c r="N95" s="369"/>
      <c r="O95" s="369"/>
      <c r="P95" s="369"/>
      <c r="Q95" s="369"/>
      <c r="R95" s="369"/>
      <c r="S95" s="369"/>
      <c r="T95" s="369"/>
      <c r="U95" s="369"/>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BA95" s="108" t="str">
        <f t="shared" si="0"/>
        <v>CBS: statline.nl</v>
      </c>
    </row>
    <row r="96" spans="1:53" ht="15" customHeight="1" x14ac:dyDescent="0.25">
      <c r="A96" s="154"/>
      <c r="B96" s="83">
        <v>5</v>
      </c>
      <c r="C96" s="369" t="s">
        <v>347</v>
      </c>
      <c r="D96" s="369"/>
      <c r="E96" s="369"/>
      <c r="F96" s="369"/>
      <c r="G96" s="369"/>
      <c r="H96" s="369"/>
      <c r="I96" s="369"/>
      <c r="J96" s="369"/>
      <c r="K96" s="369"/>
      <c r="L96" s="369"/>
      <c r="M96" s="369"/>
      <c r="N96" s="369"/>
      <c r="O96" s="369"/>
      <c r="P96" s="369"/>
      <c r="Q96" s="369"/>
      <c r="R96" s="369"/>
      <c r="S96" s="369"/>
      <c r="T96" s="369"/>
      <c r="U96" s="369"/>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BA96" s="108" t="e">
        <f>#REF!</f>
        <v>#REF!</v>
      </c>
    </row>
    <row r="97" spans="1:53" ht="15" customHeight="1" x14ac:dyDescent="0.25">
      <c r="A97" s="154"/>
      <c r="B97" s="83">
        <v>6</v>
      </c>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BA97" s="108" t="str">
        <f>C96</f>
        <v>nlog.nl</v>
      </c>
    </row>
    <row r="98" spans="1:53" x14ac:dyDescent="0.25">
      <c r="A98" s="154"/>
      <c r="B98" s="83">
        <v>7</v>
      </c>
      <c r="C98" s="369"/>
      <c r="D98" s="369"/>
      <c r="E98" s="369"/>
      <c r="F98" s="369"/>
      <c r="G98" s="369"/>
      <c r="H98" s="369"/>
      <c r="I98" s="369"/>
      <c r="J98" s="369"/>
      <c r="K98" s="369"/>
      <c r="L98" s="369"/>
      <c r="M98" s="369"/>
      <c r="N98" s="369"/>
      <c r="O98" s="369"/>
      <c r="P98" s="369"/>
      <c r="Q98" s="369"/>
      <c r="R98" s="369"/>
      <c r="S98" s="369"/>
      <c r="T98" s="369"/>
      <c r="U98" s="369"/>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BA98" s="108">
        <f t="shared" si="0"/>
        <v>0</v>
      </c>
    </row>
    <row r="99" spans="1:53" x14ac:dyDescent="0.25">
      <c r="A99" s="154"/>
      <c r="B99" s="83">
        <v>8</v>
      </c>
      <c r="C99" s="369"/>
      <c r="D99" s="369"/>
      <c r="E99" s="369"/>
      <c r="F99" s="369"/>
      <c r="G99" s="369"/>
      <c r="H99" s="369"/>
      <c r="I99" s="369"/>
      <c r="J99" s="369"/>
      <c r="K99" s="369"/>
      <c r="L99" s="369"/>
      <c r="M99" s="369"/>
      <c r="N99" s="369"/>
      <c r="O99" s="369"/>
      <c r="P99" s="369"/>
      <c r="Q99" s="369"/>
      <c r="R99" s="369"/>
      <c r="S99" s="369"/>
      <c r="T99" s="369"/>
      <c r="U99" s="369"/>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BA99" s="108">
        <f t="shared" si="0"/>
        <v>0</v>
      </c>
    </row>
    <row r="100" spans="1:53" x14ac:dyDescent="0.25">
      <c r="A100" s="154"/>
      <c r="B100" s="83">
        <v>9</v>
      </c>
      <c r="C100" s="369"/>
      <c r="D100" s="369"/>
      <c r="E100" s="369"/>
      <c r="F100" s="369"/>
      <c r="G100" s="369"/>
      <c r="H100" s="369"/>
      <c r="I100" s="369"/>
      <c r="J100" s="369"/>
      <c r="K100" s="369"/>
      <c r="L100" s="369"/>
      <c r="M100" s="369"/>
      <c r="N100" s="369"/>
      <c r="O100" s="369"/>
      <c r="P100" s="369"/>
      <c r="Q100" s="369"/>
      <c r="R100" s="369"/>
      <c r="S100" s="369"/>
      <c r="T100" s="369"/>
      <c r="U100" s="369"/>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BA100" s="108">
        <f t="shared" si="0"/>
        <v>0</v>
      </c>
    </row>
    <row r="101" spans="1:53" x14ac:dyDescent="0.25">
      <c r="A101" s="154"/>
      <c r="B101" s="83">
        <v>10</v>
      </c>
      <c r="C101" s="369"/>
      <c r="D101" s="369"/>
      <c r="E101" s="369"/>
      <c r="F101" s="369"/>
      <c r="G101" s="369"/>
      <c r="H101" s="369"/>
      <c r="I101" s="369"/>
      <c r="J101" s="369"/>
      <c r="K101" s="369"/>
      <c r="L101" s="369"/>
      <c r="M101" s="369"/>
      <c r="N101" s="369"/>
      <c r="O101" s="369"/>
      <c r="P101" s="369"/>
      <c r="Q101" s="369"/>
      <c r="R101" s="369"/>
      <c r="S101" s="369"/>
      <c r="T101" s="369"/>
      <c r="U101" s="369"/>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BA101" s="108">
        <f t="shared" si="0"/>
        <v>0</v>
      </c>
    </row>
    <row r="102" spans="1:53" x14ac:dyDescent="0.25">
      <c r="A102" s="154"/>
      <c r="B102" s="370" t="s">
        <v>348</v>
      </c>
      <c r="C102" s="369" t="s">
        <v>349</v>
      </c>
      <c r="D102" s="369"/>
      <c r="E102" s="369"/>
      <c r="F102" s="369"/>
      <c r="G102" s="369"/>
      <c r="H102" s="369"/>
      <c r="I102" s="369"/>
      <c r="J102" s="369"/>
      <c r="K102" s="369"/>
      <c r="L102" s="369"/>
      <c r="M102" s="369"/>
      <c r="N102" s="369"/>
      <c r="O102" s="369"/>
      <c r="P102" s="369"/>
      <c r="Q102" s="369"/>
      <c r="R102" s="369"/>
      <c r="S102" s="369"/>
      <c r="T102" s="369"/>
      <c r="U102" s="369"/>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BA102" s="108" t="str">
        <f t="shared" si="0"/>
        <v>Add other sources here</v>
      </c>
    </row>
    <row r="103" spans="1:53" x14ac:dyDescent="0.25">
      <c r="A103" s="154"/>
      <c r="B103" s="370"/>
      <c r="C103" s="369"/>
      <c r="D103" s="369"/>
      <c r="E103" s="369"/>
      <c r="F103" s="369"/>
      <c r="G103" s="369"/>
      <c r="H103" s="369"/>
      <c r="I103" s="369"/>
      <c r="J103" s="369"/>
      <c r="K103" s="369"/>
      <c r="L103" s="369"/>
      <c r="M103" s="369"/>
      <c r="N103" s="369"/>
      <c r="O103" s="369"/>
      <c r="P103" s="369"/>
      <c r="Q103" s="369"/>
      <c r="R103" s="369"/>
      <c r="S103" s="369"/>
      <c r="T103" s="369"/>
      <c r="U103" s="369"/>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row>
    <row r="104" spans="1:53" x14ac:dyDescent="0.25">
      <c r="A104" s="154"/>
      <c r="B104" s="370"/>
      <c r="C104" s="369"/>
      <c r="D104" s="369"/>
      <c r="E104" s="369"/>
      <c r="F104" s="369"/>
      <c r="G104" s="369"/>
      <c r="H104" s="369"/>
      <c r="I104" s="369"/>
      <c r="J104" s="369"/>
      <c r="K104" s="369"/>
      <c r="L104" s="369"/>
      <c r="M104" s="369"/>
      <c r="N104" s="369"/>
      <c r="O104" s="369"/>
      <c r="P104" s="369"/>
      <c r="Q104" s="369"/>
      <c r="R104" s="369"/>
      <c r="S104" s="369"/>
      <c r="T104" s="369"/>
      <c r="U104" s="369"/>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row>
  </sheetData>
  <mergeCells count="149">
    <mergeCell ref="F22:F24"/>
    <mergeCell ref="F25:F26"/>
    <mergeCell ref="B90:C90"/>
    <mergeCell ref="D90:U90"/>
    <mergeCell ref="D82:F83"/>
    <mergeCell ref="D84:F85"/>
    <mergeCell ref="D86:F87"/>
    <mergeCell ref="D88:F89"/>
    <mergeCell ref="B82:C83"/>
    <mergeCell ref="B84:C85"/>
    <mergeCell ref="B86:C87"/>
    <mergeCell ref="B88:C89"/>
    <mergeCell ref="L48:P48"/>
    <mergeCell ref="B47:U47"/>
    <mergeCell ref="Q36:U36"/>
    <mergeCell ref="G36:K36"/>
    <mergeCell ref="L36:P36"/>
    <mergeCell ref="F52:F53"/>
    <mergeCell ref="D54:E55"/>
    <mergeCell ref="F54:F55"/>
    <mergeCell ref="D56:E57"/>
    <mergeCell ref="D46:U46"/>
    <mergeCell ref="B36:F37"/>
    <mergeCell ref="D38:D39"/>
    <mergeCell ref="D40:D41"/>
    <mergeCell ref="E40:F41"/>
    <mergeCell ref="D42:D43"/>
    <mergeCell ref="E42:F43"/>
    <mergeCell ref="D44:D45"/>
    <mergeCell ref="E44:F45"/>
    <mergeCell ref="C100:U100"/>
    <mergeCell ref="B60:C65"/>
    <mergeCell ref="D33:K33"/>
    <mergeCell ref="D34:K34"/>
    <mergeCell ref="F48:F49"/>
    <mergeCell ref="D48:E49"/>
    <mergeCell ref="G68:K68"/>
    <mergeCell ref="L68:P68"/>
    <mergeCell ref="Q68:U68"/>
    <mergeCell ref="G80:K80"/>
    <mergeCell ref="L80:P80"/>
    <mergeCell ref="Q80:U80"/>
    <mergeCell ref="B34:C34"/>
    <mergeCell ref="D76:E77"/>
    <mergeCell ref="F76:F77"/>
    <mergeCell ref="D74:E75"/>
    <mergeCell ref="F74:F75"/>
    <mergeCell ref="D72:E73"/>
    <mergeCell ref="C102:U104"/>
    <mergeCell ref="F70:F71"/>
    <mergeCell ref="D16:K17"/>
    <mergeCell ref="B18:C18"/>
    <mergeCell ref="D18:F18"/>
    <mergeCell ref="B16:C17"/>
    <mergeCell ref="B33:C33"/>
    <mergeCell ref="B31:C31"/>
    <mergeCell ref="B28:C28"/>
    <mergeCell ref="B25:C26"/>
    <mergeCell ref="Q60:U60"/>
    <mergeCell ref="D62:E63"/>
    <mergeCell ref="F62:F63"/>
    <mergeCell ref="B58:C58"/>
    <mergeCell ref="Q48:U48"/>
    <mergeCell ref="D50:E51"/>
    <mergeCell ref="F50:F51"/>
    <mergeCell ref="D52:E53"/>
    <mergeCell ref="B46:C46"/>
    <mergeCell ref="C101:U101"/>
    <mergeCell ref="B32:C32"/>
    <mergeCell ref="F56:F57"/>
    <mergeCell ref="D27:K27"/>
    <mergeCell ref="D32:K32"/>
    <mergeCell ref="D19:F20"/>
    <mergeCell ref="D60:E61"/>
    <mergeCell ref="F60:F61"/>
    <mergeCell ref="B19:C20"/>
    <mergeCell ref="B38:C39"/>
    <mergeCell ref="B40:C41"/>
    <mergeCell ref="B42:C43"/>
    <mergeCell ref="B44:C45"/>
    <mergeCell ref="B35:U35"/>
    <mergeCell ref="D31:K31"/>
    <mergeCell ref="D28:K28"/>
    <mergeCell ref="G21:K21"/>
    <mergeCell ref="Q21:U21"/>
    <mergeCell ref="B22:C24"/>
    <mergeCell ref="D22:E24"/>
    <mergeCell ref="B21:C21"/>
    <mergeCell ref="D21:E21"/>
    <mergeCell ref="L21:P21"/>
    <mergeCell ref="D29:K29"/>
    <mergeCell ref="D30:K30"/>
    <mergeCell ref="B29:C29"/>
    <mergeCell ref="B30:C30"/>
    <mergeCell ref="E38:F39"/>
    <mergeCell ref="B27:C27"/>
    <mergeCell ref="B4:K4"/>
    <mergeCell ref="B15:K15"/>
    <mergeCell ref="D5:K5"/>
    <mergeCell ref="D6:K6"/>
    <mergeCell ref="D8:K8"/>
    <mergeCell ref="D9:K9"/>
    <mergeCell ref="D10:K10"/>
    <mergeCell ref="D11:K11"/>
    <mergeCell ref="D12:K12"/>
    <mergeCell ref="D13:K13"/>
    <mergeCell ref="D14:K14"/>
    <mergeCell ref="B5:C5"/>
    <mergeCell ref="B13:C14"/>
    <mergeCell ref="B6:C6"/>
    <mergeCell ref="B12:C12"/>
    <mergeCell ref="B10:C10"/>
    <mergeCell ref="D78:U78"/>
    <mergeCell ref="D58:U58"/>
    <mergeCell ref="B59:U59"/>
    <mergeCell ref="G60:K60"/>
    <mergeCell ref="F72:F73"/>
    <mergeCell ref="D70:E71"/>
    <mergeCell ref="B66:C66"/>
    <mergeCell ref="G48:K48"/>
    <mergeCell ref="D64:E65"/>
    <mergeCell ref="F64:F65"/>
    <mergeCell ref="B48:C49"/>
    <mergeCell ref="B50:C57"/>
    <mergeCell ref="L60:P60"/>
    <mergeCell ref="O8:Q10"/>
    <mergeCell ref="B80:C81"/>
    <mergeCell ref="D66:U66"/>
    <mergeCell ref="B78:C78"/>
    <mergeCell ref="B11:C11"/>
    <mergeCell ref="B8:C9"/>
    <mergeCell ref="D7:K7"/>
    <mergeCell ref="B7:C7"/>
    <mergeCell ref="B102:B104"/>
    <mergeCell ref="D25:E26"/>
    <mergeCell ref="C95:U95"/>
    <mergeCell ref="C96:U96"/>
    <mergeCell ref="C98:U98"/>
    <mergeCell ref="C99:U99"/>
    <mergeCell ref="C92:U92"/>
    <mergeCell ref="C93:U93"/>
    <mergeCell ref="C94:U94"/>
    <mergeCell ref="D80:F81"/>
    <mergeCell ref="B79:U79"/>
    <mergeCell ref="B91:U91"/>
    <mergeCell ref="B67:U67"/>
    <mergeCell ref="D68:E69"/>
    <mergeCell ref="F68:F69"/>
    <mergeCell ref="B68:C77"/>
  </mergeCells>
  <conditionalFormatting sqref="D8">
    <cfRule type="containsText" dxfId="515" priority="211" operator="containsText" text="Please select">
      <formula>NOT(ISERROR(SEARCH("Please select",D8)))</formula>
    </cfRule>
  </conditionalFormatting>
  <conditionalFormatting sqref="D9 L9:N9">
    <cfRule type="containsText" dxfId="514" priority="210" operator="containsText" text="Other (specify here)">
      <formula>NOT(ISERROR(SEARCH("Other (specify here)",D9)))</formula>
    </cfRule>
  </conditionalFormatting>
  <conditionalFormatting sqref="D10">
    <cfRule type="containsText" dxfId="513" priority="209" operator="containsText" text="Please select">
      <formula>NOT(ISERROR(SEARCH("Please select",D10)))</formula>
    </cfRule>
  </conditionalFormatting>
  <conditionalFormatting sqref="L11:N11">
    <cfRule type="containsText" dxfId="512" priority="208" operator="containsText" text="Specify here">
      <formula>NOT(ISERROR(SEARCH("Specify here",L11)))</formula>
    </cfRule>
  </conditionalFormatting>
  <conditionalFormatting sqref="D12 L12:N12">
    <cfRule type="containsText" dxfId="511" priority="207" operator="containsText" text="Specify here">
      <formula>NOT(ISERROR(SEARCH("Specify here",D12)))</formula>
    </cfRule>
  </conditionalFormatting>
  <conditionalFormatting sqref="D6 L6:O6 L7:N7">
    <cfRule type="containsText" dxfId="510" priority="206" operator="containsText" text="DD-MM-YYYY">
      <formula>NOT(ISERROR(SEARCH("DD-MM-YYYY",D6)))</formula>
    </cfRule>
  </conditionalFormatting>
  <conditionalFormatting sqref="D13 L13:O13">
    <cfRule type="containsText" dxfId="509" priority="203" operator="containsText" text="Select the observed or expected TRL level in 2020">
      <formula>NOT(ISERROR(SEARCH("Select the observed or expected TRL level in 2020",D13)))</formula>
    </cfRule>
    <cfRule type="containsText" dxfId="508" priority="205" operator="containsText" text="Specify here the observed or expected TRL level in 2020">
      <formula>NOT(ISERROR(SEARCH("Specify here the observed or expected TRL level in 2020",D13)))</formula>
    </cfRule>
  </conditionalFormatting>
  <conditionalFormatting sqref="D14 L14:O14">
    <cfRule type="containsText" dxfId="507" priority="204" operator="containsText" text="Explain here">
      <formula>NOT(ISERROR(SEARCH("Explain here",D14)))</formula>
    </cfRule>
  </conditionalFormatting>
  <conditionalFormatting sqref="D33 D31">
    <cfRule type="containsText" dxfId="506" priority="202" operator="containsText" text="Please select">
      <formula>NOT(ISERROR(SEARCH("Please select",D31)))</formula>
    </cfRule>
  </conditionalFormatting>
  <conditionalFormatting sqref="D31 L31:O31">
    <cfRule type="containsText" dxfId="505" priority="198" operator="containsText" text="Specify here">
      <formula>NOT(ISERROR(SEARCH("Specify here",D31)))</formula>
    </cfRule>
  </conditionalFormatting>
  <conditionalFormatting sqref="L28:O29">
    <cfRule type="containsText" dxfId="504" priority="197" operator="containsText" text="Specify here">
      <formula>NOT(ISERROR(SEARCH("Specify here",L28)))</formula>
    </cfRule>
  </conditionalFormatting>
  <conditionalFormatting sqref="L27:O29">
    <cfRule type="containsText" dxfId="503" priority="196" operator="containsText" text="Specify here">
      <formula>NOT(ISERROR(SEARCH("Specify here",L27)))</formula>
    </cfRule>
  </conditionalFormatting>
  <conditionalFormatting sqref="L32:O32">
    <cfRule type="containsText" dxfId="502" priority="195" operator="containsText" text="Specify here">
      <formula>NOT(ISERROR(SEARCH("Specify here",L32)))</formula>
    </cfRule>
  </conditionalFormatting>
  <conditionalFormatting sqref="D34 L34:O34">
    <cfRule type="containsText" dxfId="501" priority="194" operator="containsText" text="Explain here (e.g. other technical dimensions, region covered for potential such as NL or EU)">
      <formula>NOT(ISERROR(SEARCH("Explain here (e.g. other technical dimensions, region covered for potential such as NL or EU)",D34)))</formula>
    </cfRule>
  </conditionalFormatting>
  <conditionalFormatting sqref="L5:O5">
    <cfRule type="containsText" dxfId="500" priority="191" operator="containsText" text="Specify technology option name here">
      <formula>NOT(ISERROR(SEARCH("Specify technology option name here",L5)))</formula>
    </cfRule>
  </conditionalFormatting>
  <conditionalFormatting sqref="D19">
    <cfRule type="containsText" dxfId="499" priority="189" operator="containsText" text="Select Functional Unit above">
      <formula>NOT(ISERROR(SEARCH("Select Functional Unit above",D19)))</formula>
    </cfRule>
  </conditionalFormatting>
  <conditionalFormatting sqref="D50">
    <cfRule type="containsText" dxfId="498" priority="160" operator="containsText" text="Select">
      <formula>NOT(ISERROR(SEARCH("Select",D50)))</formula>
    </cfRule>
  </conditionalFormatting>
  <conditionalFormatting sqref="D46">
    <cfRule type="containsText" dxfId="497" priority="170" operator="containsText" text="Explain here (e.g. other costs)">
      <formula>NOT(ISERROR(SEARCH("Explain here (e.g. other costs)",D46)))</formula>
    </cfRule>
  </conditionalFormatting>
  <conditionalFormatting sqref="D72">
    <cfRule type="containsText" dxfId="496" priority="142" operator="containsText" text="Select">
      <formula>NOT(ISERROR(SEARCH("Select",D72)))</formula>
    </cfRule>
  </conditionalFormatting>
  <conditionalFormatting sqref="D74">
    <cfRule type="containsText" dxfId="495" priority="141" operator="containsText" text="Select">
      <formula>NOT(ISERROR(SEARCH("Select",D74)))</formula>
    </cfRule>
  </conditionalFormatting>
  <conditionalFormatting sqref="D52">
    <cfRule type="containsText" dxfId="494" priority="159" operator="containsText" text="Select">
      <formula>NOT(ISERROR(SEARCH("Select",D52)))</formula>
    </cfRule>
  </conditionalFormatting>
  <conditionalFormatting sqref="D76">
    <cfRule type="containsText" dxfId="493" priority="140" operator="containsText" text="Select">
      <formula>NOT(ISERROR(SEARCH("Select",D76)))</formula>
    </cfRule>
  </conditionalFormatting>
  <conditionalFormatting sqref="D54">
    <cfRule type="containsText" dxfId="492" priority="158" operator="containsText" text="Select">
      <formula>NOT(ISERROR(SEARCH("Select",D54)))</formula>
    </cfRule>
  </conditionalFormatting>
  <conditionalFormatting sqref="D56">
    <cfRule type="containsText" dxfId="491" priority="157" operator="containsText" text="Select">
      <formula>NOT(ISERROR(SEARCH("Select",D56)))</formula>
    </cfRule>
  </conditionalFormatting>
  <conditionalFormatting sqref="F50:F57">
    <cfRule type="containsText" dxfId="490" priority="156" operator="containsText" text="Please select">
      <formula>NOT(ISERROR(SEARCH("Please select",F50)))</formula>
    </cfRule>
  </conditionalFormatting>
  <conditionalFormatting sqref="D58">
    <cfRule type="containsText" dxfId="489" priority="155" operator="containsText" text="Explain here (e.g. flexible in and out)">
      <formula>NOT(ISERROR(SEARCH("Explain here (e.g. flexible in and out)",D58)))</formula>
    </cfRule>
  </conditionalFormatting>
  <conditionalFormatting sqref="D62">
    <cfRule type="containsText" dxfId="488" priority="146" operator="containsText" text="Select">
      <formula>NOT(ISERROR(SEARCH("Select",D62)))</formula>
    </cfRule>
  </conditionalFormatting>
  <conditionalFormatting sqref="D66">
    <cfRule type="containsText" dxfId="487" priority="144" operator="containsText" text="Explain here">
      <formula>NOT(ISERROR(SEARCH("Explain here",D66)))</formula>
    </cfRule>
  </conditionalFormatting>
  <conditionalFormatting sqref="D70">
    <cfRule type="containsText" dxfId="486" priority="143" operator="containsText" text="Select">
      <formula>NOT(ISERROR(SEARCH("Select",D70)))</formula>
    </cfRule>
  </conditionalFormatting>
  <conditionalFormatting sqref="F70:F77">
    <cfRule type="containsText" dxfId="485" priority="139" operator="containsText" text="Please select">
      <formula>NOT(ISERROR(SEARCH("Please select",F70)))</formula>
    </cfRule>
  </conditionalFormatting>
  <conditionalFormatting sqref="D78">
    <cfRule type="containsText" dxfId="484" priority="138" operator="containsText" text="Explain here">
      <formula>NOT(ISERROR(SEARCH("Explain here",D78)))</formula>
    </cfRule>
  </conditionalFormatting>
  <conditionalFormatting sqref="D82">
    <cfRule type="containsText" dxfId="483" priority="131" operator="containsText" text="Specify here">
      <formula>NOT(ISERROR(SEARCH("Specify here",D82)))</formula>
    </cfRule>
  </conditionalFormatting>
  <conditionalFormatting sqref="B92 B97 B94:B95 B99 B101">
    <cfRule type="containsText" dxfId="482" priority="130" operator="containsText" text="Specify data sources and references here">
      <formula>NOT(ISERROR(SEARCH("Specify data sources and references here",B92)))</formula>
    </cfRule>
  </conditionalFormatting>
  <conditionalFormatting sqref="D28">
    <cfRule type="containsText" dxfId="481" priority="129" operator="containsText" text="Please select">
      <formula>NOT(ISERROR(SEARCH("Please select",D28)))</formula>
    </cfRule>
  </conditionalFormatting>
  <conditionalFormatting sqref="D28">
    <cfRule type="containsText" dxfId="480" priority="128" operator="containsText" text="Specify here">
      <formula>NOT(ISERROR(SEARCH("Specify here",D28)))</formula>
    </cfRule>
  </conditionalFormatting>
  <conditionalFormatting sqref="D27:D28">
    <cfRule type="containsText" dxfId="479" priority="126" operator="containsText" text="Specify here (if not specified, value will be 1)">
      <formula>NOT(ISERROR(SEARCH("Specify here (if not specified, value will be 1)",D27)))</formula>
    </cfRule>
  </conditionalFormatting>
  <conditionalFormatting sqref="D32">
    <cfRule type="containsText" dxfId="478" priority="125" operator="containsText" text="Please select">
      <formula>NOT(ISERROR(SEARCH("Please select",D32)))</formula>
    </cfRule>
  </conditionalFormatting>
  <conditionalFormatting sqref="D32">
    <cfRule type="containsText" dxfId="477" priority="124" operator="containsText" text="Specify here">
      <formula>NOT(ISERROR(SEARCH("Specify here",D32)))</formula>
    </cfRule>
  </conditionalFormatting>
  <conditionalFormatting sqref="H41:K41 H43:K43 G45:K45 J39:K39">
    <cfRule type="containsText" dxfId="476" priority="123" operator="containsText" text="Reference">
      <formula>NOT(ISERROR(SEARCH("Reference",G39)))</formula>
    </cfRule>
  </conditionalFormatting>
  <conditionalFormatting sqref="L41:P41 L43:P43 L45:P45 L39:P39">
    <cfRule type="containsText" dxfId="475" priority="122" operator="containsText" text="Reference">
      <formula>NOT(ISERROR(SEARCH("Reference",L39)))</formula>
    </cfRule>
  </conditionalFormatting>
  <conditionalFormatting sqref="Q41:U41 Q43:U43 Q45:U45 Q39:U39">
    <cfRule type="containsText" dxfId="474" priority="121" operator="containsText" text="Reference">
      <formula>NOT(ISERROR(SEARCH("Reference",Q39)))</formula>
    </cfRule>
  </conditionalFormatting>
  <conditionalFormatting sqref="E38">
    <cfRule type="containsText" dxfId="473" priority="120" operator="containsText" text="Please select 'Functional Unit' above">
      <formula>NOT(ISERROR(SEARCH("Please select 'Functional Unit' above",E38)))</formula>
    </cfRule>
  </conditionalFormatting>
  <conditionalFormatting sqref="H53:K53 H55:K55 H57:K57 H51:K51">
    <cfRule type="containsText" dxfId="472" priority="116" operator="containsText" text="Reference">
      <formula>NOT(ISERROR(SEARCH("Reference",H51)))</formula>
    </cfRule>
  </conditionalFormatting>
  <conditionalFormatting sqref="M53:P53 M55:P55 M57:P57 M51:P51">
    <cfRule type="containsText" dxfId="471" priority="115" operator="containsText" text="Reference">
      <formula>NOT(ISERROR(SEARCH("Reference",M51)))</formula>
    </cfRule>
  </conditionalFormatting>
  <conditionalFormatting sqref="R53:U53 R55:U55 R57:U57 R51:U51">
    <cfRule type="containsText" dxfId="470" priority="114" operator="containsText" text="Reference">
      <formula>NOT(ISERROR(SEARCH("Reference",R51)))</formula>
    </cfRule>
  </conditionalFormatting>
  <conditionalFormatting sqref="H73:K73 H75:K75 H77:K77 H71:K71">
    <cfRule type="containsText" dxfId="469" priority="110" operator="containsText" text="Reference">
      <formula>NOT(ISERROR(SEARCH("Reference",H71)))</formula>
    </cfRule>
  </conditionalFormatting>
  <conditionalFormatting sqref="M73:P73 M75:P75 M77:P77 M71:P71">
    <cfRule type="containsText" dxfId="468" priority="109" operator="containsText" text="Reference">
      <formula>NOT(ISERROR(SEARCH("Reference",M71)))</formula>
    </cfRule>
  </conditionalFormatting>
  <conditionalFormatting sqref="R73:U73 R75:U75 R77:U77 R71:U71">
    <cfRule type="containsText" dxfId="467" priority="108" operator="containsText" text="Reference">
      <formula>NOT(ISERROR(SEARCH("Reference",R71)))</formula>
    </cfRule>
  </conditionalFormatting>
  <conditionalFormatting sqref="G65:K65 H63:K63">
    <cfRule type="containsText" dxfId="466" priority="107" operator="containsText" text="Reference">
      <formula>NOT(ISERROR(SEARCH("Reference",G63)))</formula>
    </cfRule>
  </conditionalFormatting>
  <conditionalFormatting sqref="L65:P65 M63:P63">
    <cfRule type="containsText" dxfId="465" priority="106" operator="containsText" text="Reference">
      <formula>NOT(ISERROR(SEARCH("Reference",L63)))</formula>
    </cfRule>
  </conditionalFormatting>
  <conditionalFormatting sqref="Q65:U65 R63:U63">
    <cfRule type="containsText" dxfId="464" priority="105" operator="containsText" text="Reference">
      <formula>NOT(ISERROR(SEARCH("Reference",Q63)))</formula>
    </cfRule>
  </conditionalFormatting>
  <conditionalFormatting sqref="H83:K83">
    <cfRule type="containsText" dxfId="463" priority="104" operator="containsText" text="Reference">
      <formula>NOT(ISERROR(SEARCH("Reference",H83)))</formula>
    </cfRule>
  </conditionalFormatting>
  <conditionalFormatting sqref="M83:P83">
    <cfRule type="containsText" dxfId="462" priority="103" operator="containsText" text="Reference">
      <formula>NOT(ISERROR(SEARCH("Reference",M83)))</formula>
    </cfRule>
  </conditionalFormatting>
  <conditionalFormatting sqref="R83:U83">
    <cfRule type="containsText" dxfId="461" priority="102" operator="containsText" text="Reference">
      <formula>NOT(ISERROR(SEARCH("Reference",R83)))</formula>
    </cfRule>
  </conditionalFormatting>
  <conditionalFormatting sqref="D5">
    <cfRule type="containsText" dxfId="460" priority="101" operator="containsText" text="Please select">
      <formula>NOT(ISERROR(SEARCH("Please select",D5)))</formula>
    </cfRule>
  </conditionalFormatting>
  <conditionalFormatting sqref="D5">
    <cfRule type="containsText" dxfId="459" priority="100" operator="containsText" text="Specify here">
      <formula>NOT(ISERROR(SEARCH("Specify here",D5)))</formula>
    </cfRule>
  </conditionalFormatting>
  <conditionalFormatting sqref="D11">
    <cfRule type="containsText" dxfId="458" priority="99" operator="containsText" text="Please select">
      <formula>NOT(ISERROR(SEARCH("Please select",D11)))</formula>
    </cfRule>
  </conditionalFormatting>
  <conditionalFormatting sqref="D16">
    <cfRule type="containsText" dxfId="457" priority="97" operator="containsText" text="Please select">
      <formula>NOT(ISERROR(SEARCH("Please select",D16)))</formula>
    </cfRule>
    <cfRule type="containsText" dxfId="456" priority="98" operator="containsText" text="Please select 'Functional Unit' above">
      <formula>NOT(ISERROR(SEARCH("Please select 'Functional Unit' above",D16)))</formula>
    </cfRule>
  </conditionalFormatting>
  <conditionalFormatting sqref="D29">
    <cfRule type="containsText" dxfId="455" priority="95" operator="containsText" text="Please select">
      <formula>NOT(ISERROR(SEARCH("Please select",D29)))</formula>
    </cfRule>
  </conditionalFormatting>
  <conditionalFormatting sqref="E40 E42 E44">
    <cfRule type="containsText" dxfId="454" priority="91" operator="containsText" text="Please select 'Functional Unit' above">
      <formula>NOT(ISERROR(SEARCH("Please select 'Functional Unit' above",E40)))</formula>
    </cfRule>
  </conditionalFormatting>
  <conditionalFormatting sqref="G53 G55 G57 G51">
    <cfRule type="containsText" dxfId="453" priority="90" operator="containsText" text="Reference">
      <formula>NOT(ISERROR(SEARCH("Reference",G51)))</formula>
    </cfRule>
  </conditionalFormatting>
  <conditionalFormatting sqref="L55 L57">
    <cfRule type="containsText" dxfId="452" priority="89" operator="containsText" text="Reference">
      <formula>NOT(ISERROR(SEARCH("Reference",L55)))</formula>
    </cfRule>
  </conditionalFormatting>
  <conditionalFormatting sqref="Q55 Q57">
    <cfRule type="containsText" dxfId="451" priority="88" operator="containsText" text="Reference">
      <formula>NOT(ISERROR(SEARCH("Reference",Q55)))</formula>
    </cfRule>
  </conditionalFormatting>
  <conditionalFormatting sqref="D64">
    <cfRule type="containsText" dxfId="450" priority="87" operator="containsText" text="Select">
      <formula>NOT(ISERROR(SEARCH("Select",D64)))</formula>
    </cfRule>
  </conditionalFormatting>
  <conditionalFormatting sqref="D62:F65">
    <cfRule type="containsText" dxfId="449" priority="86" operator="containsText" text="Specify here">
      <formula>NOT(ISERROR(SEARCH("Specify here",D62)))</formula>
    </cfRule>
  </conditionalFormatting>
  <conditionalFormatting sqref="G63">
    <cfRule type="containsText" dxfId="448" priority="85" operator="containsText" text="Reference">
      <formula>NOT(ISERROR(SEARCH("Reference",G63)))</formula>
    </cfRule>
  </conditionalFormatting>
  <conditionalFormatting sqref="L63">
    <cfRule type="containsText" dxfId="447" priority="84" operator="containsText" text="Reference">
      <formula>NOT(ISERROR(SEARCH("Reference",L63)))</formula>
    </cfRule>
  </conditionalFormatting>
  <conditionalFormatting sqref="Q63">
    <cfRule type="containsText" dxfId="446" priority="83" operator="containsText" text="Reference">
      <formula>NOT(ISERROR(SEARCH("Reference",Q63)))</formula>
    </cfRule>
  </conditionalFormatting>
  <conditionalFormatting sqref="G73 G75 G77 G71">
    <cfRule type="containsText" dxfId="445" priority="82" operator="containsText" text="Reference">
      <formula>NOT(ISERROR(SEARCH("Reference",G71)))</formula>
    </cfRule>
  </conditionalFormatting>
  <conditionalFormatting sqref="L73 L75 L77 L71">
    <cfRule type="containsText" dxfId="444" priority="81" operator="containsText" text="Reference">
      <formula>NOT(ISERROR(SEARCH("Reference",L71)))</formula>
    </cfRule>
  </conditionalFormatting>
  <conditionalFormatting sqref="Q73 Q75 Q77 Q71">
    <cfRule type="containsText" dxfId="443" priority="80" operator="containsText" text="Reference">
      <formula>NOT(ISERROR(SEARCH("Reference",Q71)))</formula>
    </cfRule>
  </conditionalFormatting>
  <conditionalFormatting sqref="B93 B96 B98 B100">
    <cfRule type="containsText" dxfId="442" priority="78" operator="containsText" text="Specify data sources and references here">
      <formula>NOT(ISERROR(SEARCH("Specify data sources and references here",B93)))</formula>
    </cfRule>
  </conditionalFormatting>
  <conditionalFormatting sqref="C102:U104">
    <cfRule type="containsText" dxfId="441" priority="76" operator="containsText" text="Add other sources here">
      <formula>NOT(ISERROR(SEARCH("Add other sources here",C102)))</formula>
    </cfRule>
  </conditionalFormatting>
  <conditionalFormatting sqref="D22">
    <cfRule type="containsText" dxfId="440" priority="73" operator="containsText" text="Please select the region">
      <formula>NOT(ISERROR(SEARCH("Please select the region",D22)))</formula>
    </cfRule>
  </conditionalFormatting>
  <conditionalFormatting sqref="D25">
    <cfRule type="containsText" dxfId="439" priority="72" operator="containsText" text="Specify here the market">
      <formula>NOT(ISERROR(SEARCH("Specify here the market",D25)))</formula>
    </cfRule>
  </conditionalFormatting>
  <conditionalFormatting sqref="H20:K20">
    <cfRule type="containsText" dxfId="438" priority="71" operator="containsText" text="Reference">
      <formula>NOT(ISERROR(SEARCH("Reference",H20)))</formula>
    </cfRule>
  </conditionalFormatting>
  <conditionalFormatting sqref="G24:K24">
    <cfRule type="containsText" dxfId="437" priority="70" operator="containsText" text="Reference">
      <formula>NOT(ISERROR(SEARCH("Reference",G24)))</formula>
    </cfRule>
  </conditionalFormatting>
  <conditionalFormatting sqref="G26:K26">
    <cfRule type="containsText" dxfId="436" priority="69" operator="containsText" text="Reference">
      <formula>NOT(ISERROR(SEARCH("Reference",G26)))</formula>
    </cfRule>
  </conditionalFormatting>
  <conditionalFormatting sqref="J39:U39 H41:U41 H43:U43 G45:U45 G51:K51 G53:K53 G55:U55 G57:U57 G63:U63 G65:U65 G71:U71 G73:U73 G75:U75 G77:U77 H83:K83 M83:P83 R83:U83 M53:P53 M51:P51 R51:U51 R53:U53">
    <cfRule type="containsText" dxfId="435" priority="68" operator="containsText" text="Reference">
      <formula>NOT(ISERROR(SEARCH("Reference",G39)))</formula>
    </cfRule>
  </conditionalFormatting>
  <conditionalFormatting sqref="L26:P26 M24:P24">
    <cfRule type="containsText" dxfId="434" priority="67" operator="containsText" text="Reference">
      <formula>NOT(ISERROR(SEARCH("Reference",L24)))</formula>
    </cfRule>
  </conditionalFormatting>
  <conditionalFormatting sqref="R26:U26 R24:U24">
    <cfRule type="containsText" dxfId="433" priority="66" operator="containsText" text="Reference">
      <formula>NOT(ISERROR(SEARCH("Reference",R24)))</formula>
    </cfRule>
  </conditionalFormatting>
  <conditionalFormatting sqref="M24:P24 L26:P26 R26:U26 R24:U24">
    <cfRule type="containsText" dxfId="432" priority="65" operator="containsText" text="Reference">
      <formula>NOT(ISERROR(SEARCH("Reference",L24)))</formula>
    </cfRule>
  </conditionalFormatting>
  <conditionalFormatting sqref="D30">
    <cfRule type="containsText" dxfId="431" priority="62" operator="containsText" text="Please select">
      <formula>NOT(ISERROR(SEARCH("Please select",D30)))</formula>
    </cfRule>
  </conditionalFormatting>
  <conditionalFormatting sqref="D30">
    <cfRule type="containsText" dxfId="430" priority="61" operator="containsText" text="Specify here">
      <formula>NOT(ISERROR(SEARCH("Specify here",D30)))</formula>
    </cfRule>
  </conditionalFormatting>
  <conditionalFormatting sqref="H85:K85 M85:P85 R85:U85">
    <cfRule type="containsText" dxfId="429" priority="56" operator="containsText" text="Reference">
      <formula>NOT(ISERROR(SEARCH("Reference",H85)))</formula>
    </cfRule>
  </conditionalFormatting>
  <conditionalFormatting sqref="H87:K87 M87:P87 R87:U87">
    <cfRule type="containsText" dxfId="428" priority="51" operator="containsText" text="Reference">
      <formula>NOT(ISERROR(SEARCH("Reference",H87)))</formula>
    </cfRule>
  </conditionalFormatting>
  <conditionalFormatting sqref="H89:K89 M89:P89 R89:U89">
    <cfRule type="containsText" dxfId="427" priority="46" operator="containsText" text="Reference">
      <formula>NOT(ISERROR(SEARCH("Reference",H89)))</formula>
    </cfRule>
  </conditionalFormatting>
  <conditionalFormatting sqref="H85:K85">
    <cfRule type="containsText" dxfId="426" priority="59" operator="containsText" text="Reference">
      <formula>NOT(ISERROR(SEARCH("Reference",H85)))</formula>
    </cfRule>
  </conditionalFormatting>
  <conditionalFormatting sqref="M85:P85">
    <cfRule type="containsText" dxfId="425" priority="58" operator="containsText" text="Reference">
      <formula>NOT(ISERROR(SEARCH("Reference",M85)))</formula>
    </cfRule>
  </conditionalFormatting>
  <conditionalFormatting sqref="R85:U85">
    <cfRule type="containsText" dxfId="424" priority="57" operator="containsText" text="Reference">
      <formula>NOT(ISERROR(SEARCH("Reference",R85)))</formula>
    </cfRule>
  </conditionalFormatting>
  <conditionalFormatting sqref="H87:K87">
    <cfRule type="containsText" dxfId="423" priority="54" operator="containsText" text="Reference">
      <formula>NOT(ISERROR(SEARCH("Reference",H87)))</formula>
    </cfRule>
  </conditionalFormatting>
  <conditionalFormatting sqref="M87:P87">
    <cfRule type="containsText" dxfId="422" priority="53" operator="containsText" text="Reference">
      <formula>NOT(ISERROR(SEARCH("Reference",M87)))</formula>
    </cfRule>
  </conditionalFormatting>
  <conditionalFormatting sqref="R87:U87">
    <cfRule type="containsText" dxfId="421" priority="52" operator="containsText" text="Reference">
      <formula>NOT(ISERROR(SEARCH("Reference",R87)))</formula>
    </cfRule>
  </conditionalFormatting>
  <conditionalFormatting sqref="H89:K89">
    <cfRule type="containsText" dxfId="420" priority="49" operator="containsText" text="Reference">
      <formula>NOT(ISERROR(SEARCH("Reference",H89)))</formula>
    </cfRule>
  </conditionalFormatting>
  <conditionalFormatting sqref="M89:P89">
    <cfRule type="containsText" dxfId="419" priority="48" operator="containsText" text="Reference">
      <formula>NOT(ISERROR(SEARCH("Reference",M89)))</formula>
    </cfRule>
  </conditionalFormatting>
  <conditionalFormatting sqref="R89:U89">
    <cfRule type="containsText" dxfId="418" priority="47" operator="containsText" text="Reference">
      <formula>NOT(ISERROR(SEARCH("Reference",R89)))</formula>
    </cfRule>
  </conditionalFormatting>
  <conditionalFormatting sqref="B82">
    <cfRule type="containsText" dxfId="417" priority="41" operator="containsText" text="Add here">
      <formula>NOT(ISERROR(SEARCH("Add here",B82)))</formula>
    </cfRule>
  </conditionalFormatting>
  <conditionalFormatting sqref="B84">
    <cfRule type="containsText" dxfId="416" priority="40" operator="containsText" text="Add here">
      <formula>NOT(ISERROR(SEARCH("Add here",B84)))</formula>
    </cfRule>
  </conditionalFormatting>
  <conditionalFormatting sqref="B86">
    <cfRule type="containsText" dxfId="415" priority="39" operator="containsText" text="Add here">
      <formula>NOT(ISERROR(SEARCH("Add here",B86)))</formula>
    </cfRule>
  </conditionalFormatting>
  <conditionalFormatting sqref="B88">
    <cfRule type="containsText" dxfId="414" priority="38" operator="containsText" text="Add here">
      <formula>NOT(ISERROR(SEARCH("Add here",B88)))</formula>
    </cfRule>
  </conditionalFormatting>
  <conditionalFormatting sqref="G85 G87 G89 G83">
    <cfRule type="containsText" dxfId="413" priority="34" operator="containsText" text="Reference">
      <formula>NOT(ISERROR(SEARCH("Reference",G83)))</formula>
    </cfRule>
  </conditionalFormatting>
  <conditionalFormatting sqref="G83 G85 G87 G89">
    <cfRule type="containsText" dxfId="412" priority="33" operator="containsText" text="Reference">
      <formula>NOT(ISERROR(SEARCH("Reference",G83)))</formula>
    </cfRule>
  </conditionalFormatting>
  <conditionalFormatting sqref="L85 L87 L89 L83">
    <cfRule type="containsText" dxfId="411" priority="32" operator="containsText" text="Reference">
      <formula>NOT(ISERROR(SEARCH("Reference",L83)))</formula>
    </cfRule>
  </conditionalFormatting>
  <conditionalFormatting sqref="L83 L85 L87 L89">
    <cfRule type="containsText" dxfId="410" priority="31" operator="containsText" text="Reference">
      <formula>NOT(ISERROR(SEARCH("Reference",L83)))</formula>
    </cfRule>
  </conditionalFormatting>
  <conditionalFormatting sqref="Q85 Q87 Q89 Q83">
    <cfRule type="containsText" dxfId="409" priority="30" operator="containsText" text="Reference">
      <formula>NOT(ISERROR(SEARCH("Reference",Q83)))</formula>
    </cfRule>
  </conditionalFormatting>
  <conditionalFormatting sqref="Q83 Q85 Q87 Q89">
    <cfRule type="containsText" dxfId="408" priority="29" operator="containsText" text="Reference">
      <formula>NOT(ISERROR(SEARCH("Reference",Q83)))</formula>
    </cfRule>
  </conditionalFormatting>
  <conditionalFormatting sqref="D90">
    <cfRule type="containsText" dxfId="407" priority="28" operator="containsText" text="Explain here">
      <formula>NOT(ISERROR(SEARCH("Explain here",D90)))</formula>
    </cfRule>
  </conditionalFormatting>
  <conditionalFormatting sqref="D84">
    <cfRule type="containsText" dxfId="406" priority="27" operator="containsText" text="Specify here">
      <formula>NOT(ISERROR(SEARCH("Specify here",D84)))</formula>
    </cfRule>
  </conditionalFormatting>
  <conditionalFormatting sqref="D86">
    <cfRule type="containsText" dxfId="405" priority="26" operator="containsText" text="Specify here">
      <formula>NOT(ISERROR(SEARCH("Specify here",D86)))</formula>
    </cfRule>
  </conditionalFormatting>
  <conditionalFormatting sqref="D88">
    <cfRule type="containsText" dxfId="404" priority="25" operator="containsText" text="Specify here">
      <formula>NOT(ISERROR(SEARCH("Specify here",D88)))</formula>
    </cfRule>
  </conditionalFormatting>
  <conditionalFormatting sqref="E42:F43">
    <cfRule type="containsText" dxfId="403" priority="24" operator="containsText" text="Please select">
      <formula>NOT(ISERROR(SEARCH("Please select",E42)))</formula>
    </cfRule>
  </conditionalFormatting>
  <conditionalFormatting sqref="F22">
    <cfRule type="containsText" dxfId="402" priority="23" operator="containsText" text="Please select">
      <formula>NOT(ISERROR(SEARCH("Please select",F22)))</formula>
    </cfRule>
  </conditionalFormatting>
  <conditionalFormatting sqref="F25">
    <cfRule type="containsText" dxfId="401" priority="22" operator="containsText" text="Select Functional Unit above">
      <formula>NOT(ISERROR(SEARCH("Select Functional Unit above",F25)))</formula>
    </cfRule>
  </conditionalFormatting>
  <conditionalFormatting sqref="E44:F45">
    <cfRule type="cellIs" dxfId="400" priority="21" operator="equal">
      <formula>"Please select based on chosen Functional Unit"</formula>
    </cfRule>
  </conditionalFormatting>
  <conditionalFormatting sqref="D7">
    <cfRule type="containsText" dxfId="399" priority="20" operator="containsText" text="Please select">
      <formula>NOT(ISERROR(SEARCH("Please select",D7)))</formula>
    </cfRule>
  </conditionalFormatting>
  <conditionalFormatting sqref="D7">
    <cfRule type="containsText" dxfId="398" priority="19" operator="containsText" text="Specify here">
      <formula>NOT(ISERROR(SEARCH("Specify here",D7)))</formula>
    </cfRule>
  </conditionalFormatting>
  <conditionalFormatting sqref="G20">
    <cfRule type="containsText" dxfId="397" priority="18" operator="containsText" text="Reference">
      <formula>NOT(ISERROR(SEARCH("Reference",G20)))</formula>
    </cfRule>
  </conditionalFormatting>
  <conditionalFormatting sqref="L24">
    <cfRule type="containsText" dxfId="396" priority="17" operator="containsText" text="Reference">
      <formula>NOT(ISERROR(SEARCH("Reference",L24)))</formula>
    </cfRule>
  </conditionalFormatting>
  <conditionalFormatting sqref="L24">
    <cfRule type="containsText" dxfId="395" priority="16" operator="containsText" text="Reference">
      <formula>NOT(ISERROR(SEARCH("Reference",L24)))</formula>
    </cfRule>
  </conditionalFormatting>
  <conditionalFormatting sqref="Q26 Q24">
    <cfRule type="containsText" dxfId="394" priority="15" operator="containsText" text="Reference">
      <formula>NOT(ISERROR(SEARCH("Reference",Q24)))</formula>
    </cfRule>
  </conditionalFormatting>
  <conditionalFormatting sqref="Q24 Q26">
    <cfRule type="containsText" dxfId="393" priority="14" operator="containsText" text="Reference">
      <formula>NOT(ISERROR(SEARCH("Reference",Q24)))</formula>
    </cfRule>
  </conditionalFormatting>
  <conditionalFormatting sqref="Q26">
    <cfRule type="containsText" dxfId="392" priority="13" operator="containsText" text="Reference">
      <formula>NOT(ISERROR(SEARCH("Reference",Q26)))</formula>
    </cfRule>
  </conditionalFormatting>
  <conditionalFormatting sqref="G41 G39 G43:I43">
    <cfRule type="containsText" dxfId="391" priority="12" operator="containsText" text="Reference">
      <formula>NOT(ISERROR(SEARCH("Reference",G39)))</formula>
    </cfRule>
  </conditionalFormatting>
  <conditionalFormatting sqref="G39 G41 G43:I43">
    <cfRule type="containsText" dxfId="390" priority="11" operator="containsText" text="Reference">
      <formula>NOT(ISERROR(SEARCH("Reference",G39)))</formula>
    </cfRule>
  </conditionalFormatting>
  <conditionalFormatting sqref="L53 L51">
    <cfRule type="containsText" dxfId="389" priority="10" operator="containsText" text="Reference">
      <formula>NOT(ISERROR(SEARCH("Reference",L51)))</formula>
    </cfRule>
  </conditionalFormatting>
  <conditionalFormatting sqref="L51 L53">
    <cfRule type="containsText" dxfId="388" priority="9" operator="containsText" text="Reference">
      <formula>NOT(ISERROR(SEARCH("Reference",L51)))</formula>
    </cfRule>
  </conditionalFormatting>
  <conditionalFormatting sqref="Q53 Q51">
    <cfRule type="containsText" dxfId="387" priority="8" operator="containsText" text="Reference">
      <formula>NOT(ISERROR(SEARCH("Reference",Q51)))</formula>
    </cfRule>
  </conditionalFormatting>
  <conditionalFormatting sqref="Q51 Q53">
    <cfRule type="containsText" dxfId="386" priority="7" operator="containsText" text="Reference">
      <formula>NOT(ISERROR(SEARCH("Reference",Q51)))</formula>
    </cfRule>
  </conditionalFormatting>
  <conditionalFormatting sqref="C92:U92">
    <cfRule type="containsText" dxfId="385" priority="6" operator="containsText" text="Specify complete references and data sources used here">
      <formula>NOT(ISERROR(SEARCH("Specify complete references and data sources used here",C92)))</formula>
    </cfRule>
  </conditionalFormatting>
  <conditionalFormatting sqref="H39:I39">
    <cfRule type="containsText" dxfId="384" priority="5" operator="containsText" text="Reference">
      <formula>NOT(ISERROR(SEARCH("Reference",H39)))</formula>
    </cfRule>
  </conditionalFormatting>
  <conditionalFormatting sqref="H39:I39">
    <cfRule type="containsText" dxfId="383" priority="4" operator="containsText" text="Reference">
      <formula>NOT(ISERROR(SEARCH("Reference",H39)))</formula>
    </cfRule>
  </conditionalFormatting>
  <conditionalFormatting sqref="O11">
    <cfRule type="containsText" dxfId="382" priority="3" operator="containsText" text="Specify here">
      <formula>NOT(ISERROR(SEARCH("Specify here",O11)))</formula>
    </cfRule>
  </conditionalFormatting>
  <conditionalFormatting sqref="O12">
    <cfRule type="containsText" dxfId="381" priority="2" operator="containsText" text="Specify here">
      <formula>NOT(ISERROR(SEARCH("Specify here",O12)))</formula>
    </cfRule>
  </conditionalFormatting>
  <conditionalFormatting sqref="O7">
    <cfRule type="containsText" dxfId="380" priority="1" operator="containsText" text="DD-MM-YYYY">
      <formula>NOT(ISERROR(SEARCH("DD-MM-YYYY",O7)))</formula>
    </cfRule>
  </conditionalFormatting>
  <dataValidations count="2">
    <dataValidation allowBlank="1" showInputMessage="1" showErrorMessage="1" prompt="More details are found in 'READ ME' tab" sqref="D14" xr:uid="{B4D7B7FC-E8D7-4C1B-974F-5315503DC18D}"/>
    <dataValidation type="list" allowBlank="1" showInputMessage="1" showErrorMessage="1" sqref="L33:O33" xr:uid="{9901DC60-A1E1-4973-90BC-3DD1AF773D91}">
      <formula1>$X$6:$X$9</formula1>
    </dataValidation>
  </dataValidations>
  <hyperlinks>
    <hyperlink ref="C94" r:id="rId1" xr:uid="{4C96B3EF-8CF9-4738-BA8D-869D2A9767DC}"/>
  </hyperlinks>
  <pageMargins left="0.7" right="0.7" top="0.75" bottom="0.75" header="0.3" footer="0.3"/>
  <pageSetup paperSize="9" scale="19" orientation="landscape"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prompt="More details are found in 'READ ME' tab" xr:uid="{3B2EFD59-C82A-4C21-BC7E-5967DA275EBD}">
          <x14:formula1>
            <xm:f>'READ ME'!$C$26:$C$34</xm:f>
          </x14:formula1>
          <xm:sqref>D13</xm:sqref>
        </x14:dataValidation>
        <x14:dataValidation type="list" allowBlank="1" showInputMessage="1" showErrorMessage="1" xr:uid="{F2D99DDC-1834-4945-A4B5-BD6659E600DE}">
          <x14:formula1>
            <xm:f>List!$Z$6:$Z$8</xm:f>
          </x14:formula1>
          <xm:sqref>D33</xm:sqref>
        </x14:dataValidation>
        <x14:dataValidation type="list" allowBlank="1" showInputMessage="1" showErrorMessage="1" xr:uid="{FCF60EDD-8723-4377-A8DE-0FD5E2B16B26}">
          <x14:formula1>
            <xm:f>List!$D$3:$D$17</xm:f>
          </x14:formula1>
          <xm:sqref>D11</xm:sqref>
        </x14:dataValidation>
        <x14:dataValidation type="list" allowBlank="1" showInputMessage="1" showErrorMessage="1" xr:uid="{76FA057E-DA0C-4011-B7C0-B5F22923686A}">
          <x14:formula1>
            <xm:f>List!$T$3:$T$6</xm:f>
          </x14:formula1>
          <xm:sqref>F70:F77</xm:sqref>
        </x14:dataValidation>
        <x14:dataValidation type="list" allowBlank="1" showInputMessage="1" showErrorMessage="1" xr:uid="{5C14CD96-F0E1-44BA-B106-C1D8217234AF}">
          <x14:formula1>
            <xm:f>List!$H$3:$H$10</xm:f>
          </x14:formula1>
          <xm:sqref>D29</xm:sqref>
        </x14:dataValidation>
        <x14:dataValidation type="list" allowBlank="1" showInputMessage="1" showErrorMessage="1" xr:uid="{514D6F72-5CFB-457A-96D1-251F32E68A05}">
          <x14:formula1>
            <xm:f>List!$F$3:$F$18</xm:f>
          </x14:formula1>
          <xm:sqref>D16:K17 F22</xm:sqref>
        </x14:dataValidation>
        <x14:dataValidation type="list" allowBlank="1" showInputMessage="1" showErrorMessage="1" xr:uid="{CF760670-593A-41D1-8C54-DCBEC36DBEBD}">
          <x14:formula1>
            <xm:f>List!$Z$2:$Z$4</xm:f>
          </x14:formula1>
          <xm:sqref>D10:K10</xm:sqref>
        </x14:dataValidation>
        <x14:dataValidation type="list" allowBlank="1" showInputMessage="1" showErrorMessage="1" xr:uid="{EDECACFC-8F15-4C64-B465-E09030EB7C87}">
          <x14:formula1>
            <xm:f>List!$R$3:$R$13</xm:f>
          </x14:formula1>
          <xm:sqref>D70:E77</xm:sqref>
        </x14:dataValidation>
        <x14:dataValidation type="list" allowBlank="1" showInputMessage="1" showErrorMessage="1" xr:uid="{6024F62B-4B5B-4E7B-B1C0-DD051F3161C6}">
          <x14:formula1>
            <xm:f>List!$Z$10:$Z$13</xm:f>
          </x14:formula1>
          <xm:sqref>D22:E24</xm:sqref>
        </x14:dataValidation>
        <x14:dataValidation type="list" allowBlank="1" showInputMessage="1" showErrorMessage="1" xr:uid="{324BA640-E1AE-435C-AD75-952525A1E97F}">
          <x14:formula1>
            <xm:f>List!$B$3:$B$27</xm:f>
          </x14:formula1>
          <xm:sqref>D8:K8</xm:sqref>
        </x14:dataValidation>
        <x14:dataValidation type="list" allowBlank="1" showInputMessage="1" showErrorMessage="1" xr:uid="{9A44C8FE-1B60-45F6-9D14-74E0B3D49EEB}">
          <x14:formula1>
            <xm:f>List!$J$3:$J$6</xm:f>
          </x14:formula1>
          <xm:sqref>E44:F45</xm:sqref>
        </x14:dataValidation>
        <x14:dataValidation type="list" allowBlank="1" showInputMessage="1" showErrorMessage="1" xr:uid="{BD3BACC7-D684-40EE-8504-235A8AB7AA54}">
          <x14:formula1>
            <xm:f>List!$Z$15:$Z$16</xm:f>
          </x14:formula1>
          <xm:sqref>D38:D45</xm:sqref>
        </x14:dataValidation>
        <x14:dataValidation type="list" allowBlank="1" showInputMessage="1" showErrorMessage="1" xr:uid="{B0DBFE3B-5AB8-4599-A340-DC1026EACFA2}">
          <x14:formula1>
            <xm:f>List!$L$2:$L$74</xm:f>
          </x14:formula1>
          <xm:sqref>D50:E51</xm:sqref>
        </x14:dataValidation>
        <x14:dataValidation type="list" allowBlank="1" showInputMessage="1" showErrorMessage="1" xr:uid="{67E90E8D-C3BA-4EE5-A845-0834B3E011DB}">
          <x14:formula1>
            <xm:f>List!$L$3:$L$67</xm:f>
          </x14:formula1>
          <xm:sqref>D52:E57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1C4D3-2A5D-4792-A65F-CAE4F1FA59A5}">
  <dimension ref="A1:O43"/>
  <sheetViews>
    <sheetView zoomScale="80" zoomScaleNormal="80" workbookViewId="0">
      <selection activeCell="D28" sqref="D28:K28"/>
    </sheetView>
  </sheetViews>
  <sheetFormatPr defaultRowHeight="15.75" x14ac:dyDescent="0.25"/>
  <cols>
    <col min="1" max="1" width="25.5" customWidth="1"/>
  </cols>
  <sheetData>
    <row r="1" spans="1:15" ht="21" x14ac:dyDescent="0.35">
      <c r="A1" s="3" t="s">
        <v>350</v>
      </c>
    </row>
    <row r="2" spans="1:15" x14ac:dyDescent="0.25">
      <c r="A2" s="127" t="s">
        <v>351</v>
      </c>
    </row>
    <row r="5" spans="1:15" x14ac:dyDescent="0.25">
      <c r="A5" t="s">
        <v>352</v>
      </c>
      <c r="B5" t="s">
        <v>353</v>
      </c>
    </row>
    <row r="6" spans="1:15" ht="18" x14ac:dyDescent="0.25">
      <c r="A6" s="171"/>
    </row>
    <row r="16" spans="1:15" x14ac:dyDescent="0.25">
      <c r="M16">
        <f>1646/1.02</f>
        <v>1613.7254901960785</v>
      </c>
      <c r="O16">
        <f>129/1.02</f>
        <v>126.47058823529412</v>
      </c>
    </row>
    <row r="17" spans="1:15" x14ac:dyDescent="0.25">
      <c r="M17">
        <f>1062/1.02</f>
        <v>1041.1764705882354</v>
      </c>
      <c r="O17">
        <f>101/1.02</f>
        <v>99.019607843137251</v>
      </c>
    </row>
    <row r="19" spans="1:15" ht="15.75" customHeight="1" x14ac:dyDescent="0.25"/>
    <row r="23" spans="1:15" ht="21.75" customHeight="1" x14ac:dyDescent="0.25">
      <c r="A23" t="s">
        <v>354</v>
      </c>
      <c r="B23" t="s">
        <v>355</v>
      </c>
    </row>
    <row r="26" spans="1:15" x14ac:dyDescent="0.25">
      <c r="A26" t="s">
        <v>356</v>
      </c>
    </row>
    <row r="28" spans="1:15" x14ac:dyDescent="0.25">
      <c r="A28" t="s">
        <v>357</v>
      </c>
      <c r="B28">
        <f>16*6000</f>
        <v>96000</v>
      </c>
      <c r="C28" t="s">
        <v>358</v>
      </c>
    </row>
    <row r="29" spans="1:15" x14ac:dyDescent="0.25">
      <c r="B29">
        <f>B28/15</f>
        <v>6400</v>
      </c>
      <c r="C29" t="s">
        <v>359</v>
      </c>
    </row>
    <row r="30" spans="1:15" x14ac:dyDescent="0.25">
      <c r="B30">
        <v>2020</v>
      </c>
      <c r="F30">
        <v>2030</v>
      </c>
    </row>
    <row r="31" spans="1:15" x14ac:dyDescent="0.25">
      <c r="A31" t="s">
        <v>360</v>
      </c>
      <c r="E31" t="s">
        <v>361</v>
      </c>
    </row>
    <row r="32" spans="1:15" x14ac:dyDescent="0.25">
      <c r="B32" s="172">
        <f>6400*1000*(7.4)/100</f>
        <v>473600</v>
      </c>
      <c r="C32" t="s">
        <v>362</v>
      </c>
      <c r="F32">
        <f>6400*1000*(9.1)/100</f>
        <v>582400</v>
      </c>
      <c r="G32" t="s">
        <v>362</v>
      </c>
    </row>
    <row r="33" spans="1:7" x14ac:dyDescent="0.25">
      <c r="B33">
        <f>B32/1000000</f>
        <v>0.47360000000000002</v>
      </c>
      <c r="C33" t="s">
        <v>363</v>
      </c>
      <c r="F33">
        <f>F32/1000000</f>
        <v>0.58240000000000003</v>
      </c>
      <c r="G33" t="s">
        <v>363</v>
      </c>
    </row>
    <row r="35" spans="1:7" x14ac:dyDescent="0.25">
      <c r="A35" t="s">
        <v>364</v>
      </c>
      <c r="B35">
        <f>115*16*1000</f>
        <v>1840000</v>
      </c>
      <c r="C35" t="s">
        <v>362</v>
      </c>
      <c r="E35" t="s">
        <v>364</v>
      </c>
      <c r="F35">
        <f>115*16*1000</f>
        <v>1840000</v>
      </c>
      <c r="G35" t="s">
        <v>362</v>
      </c>
    </row>
    <row r="36" spans="1:7" x14ac:dyDescent="0.25">
      <c r="A36" t="s">
        <v>365</v>
      </c>
      <c r="B36">
        <f>B35-B32</f>
        <v>1366400</v>
      </c>
      <c r="E36" t="s">
        <v>365</v>
      </c>
      <c r="F36">
        <f>F35-F32</f>
        <v>1257600</v>
      </c>
    </row>
    <row r="38" spans="1:7" x14ac:dyDescent="0.25">
      <c r="B38">
        <f>B36/(16000)</f>
        <v>85.4</v>
      </c>
      <c r="C38" t="s">
        <v>366</v>
      </c>
      <c r="F38">
        <f>F36/(16000)</f>
        <v>78.599999999999994</v>
      </c>
      <c r="G38" t="s">
        <v>366</v>
      </c>
    </row>
    <row r="39" spans="1:7" x14ac:dyDescent="0.25">
      <c r="B39">
        <f>B38*1000/1000000</f>
        <v>8.5400000000000004E-2</v>
      </c>
      <c r="C39" t="s">
        <v>367</v>
      </c>
      <c r="F39">
        <f>F38*1000/1000000</f>
        <v>7.8600000000000003E-2</v>
      </c>
      <c r="G39" t="s">
        <v>367</v>
      </c>
    </row>
    <row r="41" spans="1:7" x14ac:dyDescent="0.25">
      <c r="A41" t="s">
        <v>368</v>
      </c>
      <c r="B41">
        <f>D15</f>
        <v>0</v>
      </c>
      <c r="C41" t="s">
        <v>369</v>
      </c>
      <c r="D41" t="s">
        <v>370</v>
      </c>
    </row>
    <row r="42" spans="1:7" x14ac:dyDescent="0.25">
      <c r="B42">
        <f>B41*1000</f>
        <v>0</v>
      </c>
      <c r="C42" t="s">
        <v>371</v>
      </c>
    </row>
    <row r="43" spans="1:7" x14ac:dyDescent="0.25">
      <c r="B43">
        <f>B42/1000000</f>
        <v>0</v>
      </c>
      <c r="C43" t="s">
        <v>372</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287C0-199C-4F86-ADF6-41726CA069BE}">
  <dimension ref="A1:J11"/>
  <sheetViews>
    <sheetView zoomScale="80" zoomScaleNormal="80" workbookViewId="0">
      <selection activeCell="D28" sqref="D28:K28"/>
    </sheetView>
  </sheetViews>
  <sheetFormatPr defaultRowHeight="15.75" x14ac:dyDescent="0.25"/>
  <sheetData>
    <row r="1" spans="1:10" ht="21" x14ac:dyDescent="0.35">
      <c r="A1" s="3" t="s">
        <v>373</v>
      </c>
    </row>
    <row r="2" spans="1:10" x14ac:dyDescent="0.25">
      <c r="A2" s="128" t="s">
        <v>374</v>
      </c>
    </row>
    <row r="3" spans="1:10" x14ac:dyDescent="0.25">
      <c r="A3" s="127" t="s">
        <v>375</v>
      </c>
    </row>
    <row r="9" spans="1:10" x14ac:dyDescent="0.25">
      <c r="J9" t="s">
        <v>376</v>
      </c>
    </row>
    <row r="10" spans="1:10" x14ac:dyDescent="0.25">
      <c r="J10" t="s">
        <v>377</v>
      </c>
    </row>
    <row r="11" spans="1:10" x14ac:dyDescent="0.25">
      <c r="J11" t="s">
        <v>378</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Team Document" ma:contentTypeID="0x010100A35317DCC28344A7B82488658A034A5C0100930A1513B42B0E4BA633819D1BDE4F35" ma:contentTypeVersion="13" ma:contentTypeDescription=" " ma:contentTypeScope="" ma:versionID="35139241cd4f05d57b4d02c08f33da92">
  <xsd:schema xmlns:xsd="http://www.w3.org/2001/XMLSchema" xmlns:xs="http://www.w3.org/2001/XMLSchema" xmlns:p="http://schemas.microsoft.com/office/2006/metadata/properties" xmlns:ns2="611ea500-83e9-4ef4-bf2f-c0233a31331f" xmlns:ns3="2f6a910d-138e-42c1-8e8a-320c1b7cf3f7" xmlns:ns5="cf22d98f-2e61-47ad-a8ad-1f63cee94d1b" targetNamespace="http://schemas.microsoft.com/office/2006/metadata/properties" ma:root="true" ma:fieldsID="76f799b448fd82abcbd4d0ba1242c0c2" ns2:_="" ns3:_="" ns5:_="">
    <xsd:import namespace="611ea500-83e9-4ef4-bf2f-c0233a31331f"/>
    <xsd:import namespace="2f6a910d-138e-42c1-8e8a-320c1b7cf3f7"/>
    <xsd:import namespace="cf22d98f-2e61-47ad-a8ad-1f63cee94d1b"/>
    <xsd:element name="properties">
      <xsd:complexType>
        <xsd:sequence>
          <xsd:element name="documentManagement">
            <xsd:complexType>
              <xsd:all>
                <xsd:element ref="ns2:_dlc_DocId" minOccurs="0"/>
                <xsd:element ref="ns2:_dlc_DocIdUrl" minOccurs="0"/>
                <xsd:element ref="ns2:_dlc_DocIdPersistId" minOccurs="0"/>
                <xsd:element ref="ns3:TNOC_ClusterName" minOccurs="0"/>
                <xsd:element ref="ns3:TNOC_ClusterId" minOccurs="0"/>
                <xsd:element ref="ns2:h15fbb78f4cb41d290e72f301ea2865f" minOccurs="0"/>
                <xsd:element ref="ns2:TaxCatchAll" minOccurs="0"/>
                <xsd:element ref="ns2:TaxCatchAllLabel" minOccurs="0"/>
                <xsd:element ref="ns2:n2a7a23bcc2241cb9261f9a914c7c1bb" minOccurs="0"/>
                <xsd:element ref="ns2:lca20d149a844688b6abf34073d5c21d" minOccurs="0"/>
                <xsd:element ref="ns2:cf581d8792c646118aad2c2c4ecdfa8c" minOccurs="0"/>
                <xsd:element ref="ns2:bac4ab11065f4f6c809c820c57e320e5" minOccurs="0"/>
                <xsd:element ref="ns5:MediaServiceMetadata" minOccurs="0"/>
                <xsd:element ref="ns5:MediaServiceFastMetadata" minOccurs="0"/>
                <xsd:element ref="ns5:MediaServiceDateTaken" minOccurs="0"/>
                <xsd:element ref="ns5:MediaServiceAutoTags" minOccurs="0"/>
                <xsd:element ref="ns5:MediaServiceOCR" minOccurs="0"/>
                <xsd:element ref="ns2:SharedWithUsers" minOccurs="0"/>
                <xsd:element ref="ns2:SharedWithDetails" minOccurs="0"/>
                <xsd:element ref="ns5:MediaServiceGenerationTime" minOccurs="0"/>
                <xsd:element ref="ns5:MediaServiceEventHashCode" minOccurs="0"/>
                <xsd:element ref="ns5:MediaServiceAutoKeyPoints" minOccurs="0"/>
                <xsd:element ref="ns5:MediaServiceKeyPoints" minOccurs="0"/>
                <xsd:element ref="ns5: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1ea500-83e9-4ef4-bf2f-c0233a31331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15fbb78f4cb41d290e72f301ea2865f" ma:index="13" nillable="true" ma:taxonomy="true" ma:internalName="h15fbb78f4cb41d290e72f301ea2865f" ma:taxonomyFieldName="TNOC_ClusterType" ma:displayName="Cluster type" ma:default="1;#Project|fa11c4c9-105f-402c-bb40-9a56b4989397" ma:fieldId="{115fbb78-f4cb-41d2-90e7-2f301ea2865f}" ma:sspId="7378aa68-586f-4892-bb77-0985b40f41a6" ma:termSetId="e7feef8e-5ede-44cd-b7d5-7ed7dacef0b4"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74c981b9-958d-4dec-967d-0b3a4b128dac}" ma:internalName="TaxCatchAll" ma:showField="CatchAllData" ma:web="611ea500-83e9-4ef4-bf2f-c0233a3133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74c981b9-958d-4dec-967d-0b3a4b128dac}" ma:internalName="TaxCatchAllLabel" ma:readOnly="true" ma:showField="CatchAllDataLabel" ma:web="611ea500-83e9-4ef4-bf2f-c0233a31331f">
      <xsd:complexType>
        <xsd:complexContent>
          <xsd:extension base="dms:MultiChoiceLookup">
            <xsd:sequence>
              <xsd:element name="Value" type="dms:Lookup" maxOccurs="unbounded" minOccurs="0" nillable="true"/>
            </xsd:sequence>
          </xsd:extension>
        </xsd:complexContent>
      </xsd:complexType>
    </xsd:element>
    <xsd:element name="n2a7a23bcc2241cb9261f9a914c7c1bb" ma:index="17" nillable="true" ma:taxonomy="true" ma:internalName="n2a7a23bcc2241cb9261f9a914c7c1bb" ma:taxonomyFieldName="TNOC_DocumentClassification" ma:displayName="Document classification" ma:default="5;#TNO Internal|1a23c89f-ef54-4907-86fd-8242403ff722" ma:fieldId="{72a7a23b-cc22-41cb-9261-f9a914c7c1bb}" ma:sspId="7378aa68-586f-4892-bb77-0985b40f41a6" ma:termSetId="ff8f31fd-7572-41dc-9fe4-bd4c6d280f39" ma:anchorId="00000000-0000-0000-0000-000000000000" ma:open="false" ma:isKeyword="false">
      <xsd:complexType>
        <xsd:sequence>
          <xsd:element ref="pc:Terms" minOccurs="0" maxOccurs="1"/>
        </xsd:sequence>
      </xsd:complexType>
    </xsd:element>
    <xsd:element name="lca20d149a844688b6abf34073d5c21d" ma:index="19" nillable="true" ma:taxonomy="true" ma:internalName="lca20d149a844688b6abf34073d5c21d" ma:taxonomyFieldName="TNOC_DocumentType" ma:displayName="Document type" ma:fieldId="{5ca20d14-9a84-4688-b6ab-f34073d5c21d}" ma:sspId="7378aa68-586f-4892-bb77-0985b40f41a6" ma:termSetId="e8a13a9e-c4f3-4184-b8d9-8210abad4948" ma:anchorId="00000000-0000-0000-0000-000000000000" ma:open="false" ma:isKeyword="false">
      <xsd:complexType>
        <xsd:sequence>
          <xsd:element ref="pc:Terms" minOccurs="0" maxOccurs="1"/>
        </xsd:sequence>
      </xsd:complexType>
    </xsd:element>
    <xsd:element name="cf581d8792c646118aad2c2c4ecdfa8c" ma:index="22" nillable="true" ma:taxonomy="true" ma:internalName="cf581d8792c646118aad2c2c4ecdfa8c" ma:taxonomyFieldName="TNOC_DocumentSetType" ma:displayName="Document set type" ma:readOnly="false" ma:fieldId="{cf581d87-92c6-4611-8aad-2c2c4ecdfa8c}" ma:sspId="7378aa68-586f-4892-bb77-0985b40f41a6" ma:termSetId="a8d4306b-62bf-468f-9587-ff078c864327" ma:anchorId="00000000-0000-0000-0000-000000000000" ma:open="false" ma:isKeyword="false">
      <xsd:complexType>
        <xsd:sequence>
          <xsd:element ref="pc:Terms" minOccurs="0" maxOccurs="1"/>
        </xsd:sequence>
      </xsd:complexType>
    </xsd:element>
    <xsd:element name="bac4ab11065f4f6c809c820c57e320e5" ma:index="24" nillable="true" ma:taxonomy="true" ma:internalName="bac4ab11065f4f6c809c820c57e320e5" ma:taxonomyFieldName="TNOC_DocumentCategory" ma:displayName="Document category" ma:fieldId="{bac4ab11-065f-4f6c-809c-820c57e320e5}" ma:sspId="7378aa68-586f-4892-bb77-0985b40f41a6" ma:termSetId="94d42b6a-4155-4fa6-95e9-087bc306ceb3" ma:anchorId="00000000-0000-0000-0000-000000000000" ma:open="false" ma:isKeyword="false">
      <xsd:complexType>
        <xsd:sequence>
          <xsd:element ref="pc:Terms" minOccurs="0" maxOccurs="1"/>
        </xsd:sequence>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6a910d-138e-42c1-8e8a-320c1b7cf3f7" elementFormDefault="qualified">
    <xsd:import namespace="http://schemas.microsoft.com/office/2006/documentManagement/types"/>
    <xsd:import namespace="http://schemas.microsoft.com/office/infopath/2007/PartnerControls"/>
    <xsd:element name="TNOC_ClusterName" ma:index="11" nillable="true" ma:displayName="Cluster name" ma:default="5.5311 - Factsheets technologie-n" ma:internalName="TNOC_ClusterName">
      <xsd:simpleType>
        <xsd:restriction base="dms:Text">
          <xsd:maxLength value="255"/>
        </xsd:restriction>
      </xsd:simpleType>
    </xsd:element>
    <xsd:element name="TNOC_ClusterId" ma:index="12" nillable="true" ma:displayName="Cluster ID" ma:default="060.33948" ma:internalName="TNOC_Clust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22d98f-2e61-47ad-a8ad-1f63cee94d1b" elementFormDefault="qualified">
    <xsd:import namespace="http://schemas.microsoft.com/office/2006/documentManagement/types"/>
    <xsd:import namespace="http://schemas.microsoft.com/office/infopath/2007/PartnerControls"/>
    <xsd:element name="MediaServiceMetadata" ma:index="26" nillable="true" ma:displayName="MediaServiceMetadata" ma:hidden="true" ma:internalName="MediaServiceMetadata" ma:readOnly="true">
      <xsd:simpleType>
        <xsd:restriction base="dms:Note"/>
      </xsd:simpleType>
    </xsd:element>
    <xsd:element name="MediaServiceFastMetadata" ma:index="27" nillable="true" ma:displayName="MediaServiceFastMetadata" ma:hidden="true" ma:internalName="MediaServiceFastMetadata" ma:readOnly="true">
      <xsd:simpleType>
        <xsd:restriction base="dms:Note"/>
      </xsd:simpleType>
    </xsd:element>
    <xsd:element name="MediaServiceDateTaken" ma:index="28" nillable="true" ma:displayName="MediaServiceDateTaken" ma:hidden="true" ma:internalName="MediaServiceDateTaken" ma:readOnly="true">
      <xsd:simpleType>
        <xsd:restriction base="dms:Text"/>
      </xsd:simpleType>
    </xsd:element>
    <xsd:element name="MediaServiceAutoTags" ma:index="29" nillable="true" ma:displayName="MediaServiceAutoTags" ma:internalName="MediaServiceAutoTags" ma:readOnly="true">
      <xsd:simpleType>
        <xsd:restriction base="dms:Text"/>
      </xsd:simpleType>
    </xsd:element>
    <xsd:element name="MediaServiceOCR" ma:index="30" nillable="true" ma:displayName="MediaServiceOCR"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AutoKeyPoints" ma:index="35" nillable="true" ma:displayName="MediaServiceAutoKeyPoints" ma:hidden="true" ma:internalName="MediaServiceAutoKeyPoints" ma:readOnly="true">
      <xsd:simpleType>
        <xsd:restriction base="dms:Note"/>
      </xsd:simpleType>
    </xsd:element>
    <xsd:element name="MediaServiceKeyPoints" ma:index="36" nillable="true" ma:displayName="KeyPoints" ma:internalName="MediaServiceKeyPoints" ma:readOnly="true">
      <xsd:simpleType>
        <xsd:restriction base="dms:Note">
          <xsd:maxLength value="255"/>
        </xsd:restriction>
      </xsd:simpleType>
    </xsd:element>
    <xsd:element name="MediaServiceObjectDetectorVersions" ma:index="37"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1"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NOC_ClusterName xmlns="2f6a910d-138e-42c1-8e8a-320c1b7cf3f7">5.5311 - Factsheets technologie-n</TNOC_ClusterName>
    <TNOC_ClusterId xmlns="2f6a910d-138e-42c1-8e8a-320c1b7cf3f7">060.33948</TNOC_ClusterId>
    <bac4ab11065f4f6c809c820c57e320e5 xmlns="611ea500-83e9-4ef4-bf2f-c0233a31331f">
      <Terms xmlns="http://schemas.microsoft.com/office/infopath/2007/PartnerControls"/>
    </bac4ab11065f4f6c809c820c57e320e5>
    <h15fbb78f4cb41d290e72f301ea2865f xmlns="611ea500-83e9-4ef4-bf2f-c0233a31331f">
      <Terms xmlns="http://schemas.microsoft.com/office/infopath/2007/PartnerControls">
        <TermInfo xmlns="http://schemas.microsoft.com/office/infopath/2007/PartnerControls">
          <TermName xmlns="http://schemas.microsoft.com/office/infopath/2007/PartnerControls">Project</TermName>
          <TermId xmlns="http://schemas.microsoft.com/office/infopath/2007/PartnerControls">fa11c4c9-105f-402c-bb40-9a56b4989397</TermId>
        </TermInfo>
      </Terms>
    </h15fbb78f4cb41d290e72f301ea2865f>
    <cf581d8792c646118aad2c2c4ecdfa8c xmlns="611ea500-83e9-4ef4-bf2f-c0233a31331f">
      <Terms xmlns="http://schemas.microsoft.com/office/infopath/2007/PartnerControls"/>
    </cf581d8792c646118aad2c2c4ecdfa8c>
    <n2a7a23bcc2241cb9261f9a914c7c1bb xmlns="611ea500-83e9-4ef4-bf2f-c0233a31331f">
      <Terms xmlns="http://schemas.microsoft.com/office/infopath/2007/PartnerControls">
        <TermInfo xmlns="http://schemas.microsoft.com/office/infopath/2007/PartnerControls">
          <TermName xmlns="http://schemas.microsoft.com/office/infopath/2007/PartnerControls">TNO Internal</TermName>
          <TermId xmlns="http://schemas.microsoft.com/office/infopath/2007/PartnerControls">1a23c89f-ef54-4907-86fd-8242403ff722</TermId>
        </TermInfo>
      </Terms>
    </n2a7a23bcc2241cb9261f9a914c7c1bb>
    <TaxCatchAll xmlns="611ea500-83e9-4ef4-bf2f-c0233a31331f">
      <Value>5</Value>
      <Value>1</Value>
    </TaxCatchAll>
    <lca20d149a844688b6abf34073d5c21d xmlns="611ea500-83e9-4ef4-bf2f-c0233a31331f">
      <Terms xmlns="http://schemas.microsoft.com/office/infopath/2007/PartnerControls"/>
    </lca20d149a844688b6abf34073d5c21d>
    <_dlc_DocId xmlns="611ea500-83e9-4ef4-bf2f-c0233a31331f">K5WJPCK5SUVE-119146697-12396</_dlc_DocId>
    <_dlc_DocIdUrl xmlns="611ea500-83e9-4ef4-bf2f-c0233a31331f">
      <Url>https://365tno.sharepoint.com/teams/P060.33948/_layouts/15/DocIdRedir.aspx?ID=K5WJPCK5SUVE-119146697-12396</Url>
      <Description>K5WJPCK5SUVE-119146697-12396</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AAEA00F-7224-444E-8FE0-FDC7580CD00D}"/>
</file>

<file path=customXml/itemProps2.xml><?xml version="1.0" encoding="utf-8"?>
<ds:datastoreItem xmlns:ds="http://schemas.openxmlformats.org/officeDocument/2006/customXml" ds:itemID="{9D46A041-DD11-43DA-9354-C886714C5272}">
  <ds:schemaRefs>
    <ds:schemaRef ds:uri="http://schemas.microsoft.com/sharepoint/v3/contenttype/forms"/>
  </ds:schemaRefs>
</ds:datastoreItem>
</file>

<file path=customXml/itemProps3.xml><?xml version="1.0" encoding="utf-8"?>
<ds:datastoreItem xmlns:ds="http://schemas.openxmlformats.org/officeDocument/2006/customXml" ds:itemID="{5B5024E2-4571-4837-AA90-626DE1BCD0FB}">
  <ds:schemaRefs>
    <ds:schemaRef ds:uri="http://schemas.microsoft.com/office/2006/documentManagement/types"/>
    <ds:schemaRef ds:uri="611ea500-83e9-4ef4-bf2f-c0233a31331f"/>
    <ds:schemaRef ds:uri="cf22d98f-2e61-47ad-a8ad-1f63cee94d1b"/>
    <ds:schemaRef ds:uri="http://purl.org/dc/terms/"/>
    <ds:schemaRef ds:uri="http://schemas.microsoft.com/office/infopath/2007/PartnerControls"/>
    <ds:schemaRef ds:uri="2f6a910d-138e-42c1-8e8a-320c1b7cf3f7"/>
    <ds:schemaRef ds:uri="http://www.w3.org/XML/1998/namespace"/>
    <ds:schemaRef ds:uri="http://purl.org/dc/elements/1.1/"/>
    <ds:schemaRef ds:uri="http://schemas.openxmlformats.org/package/2006/metadata/core-propertie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B70BACAB-526D-4936-9A3C-B3019656EBB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READ ME</vt:lpstr>
      <vt:lpstr>List original</vt:lpstr>
      <vt:lpstr>List</vt:lpstr>
      <vt:lpstr>ESDL</vt:lpstr>
      <vt:lpstr>Data input original</vt:lpstr>
      <vt:lpstr>Log KSm for ESDL</vt:lpstr>
      <vt:lpstr>Data input</vt:lpstr>
      <vt:lpstr>Calculations</vt:lpstr>
      <vt:lpstr>Visual representation</vt:lpstr>
      <vt:lpstr>Change log</vt:lpstr>
      <vt:lpstr>Technology Factsheet</vt:lpstr>
      <vt:lpstr>'READ ME'!_ftn1</vt:lpstr>
      <vt:lpstr>'READ ME'!_ftnref1</vt:lpstr>
      <vt:lpstr>'READ ME'!Print_Area</vt:lpstr>
      <vt:lpstr>'Technology Factsheet'!Print_Area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Clisby, L.E. (Lauren)</cp:lastModifiedBy>
  <cp:revision/>
  <cp:lastPrinted>2021-10-11T10:38:15Z</cp:lastPrinted>
  <dcterms:created xsi:type="dcterms:W3CDTF">2018-07-06T12:34:34Z</dcterms:created>
  <dcterms:modified xsi:type="dcterms:W3CDTF">2023-12-05T12:53:40Z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0x010100A35317DCC28344A7B82488658A034A5C0100930A1513B42B0E4BA633819D1BDE4F35</vt:lpwstr>
  </property>
  <property fmtid="{D5CDD505-2E9C-101B-9397-08002B2CF9AE}" pid="3" name="TNOC_DocumentClassification">
    <vt:lpwstr>5;#TNO Internal|1a23c89f-ef54-4907-86fd-8242403ff722</vt:lpwstr>
  </property>
  <property fmtid="{D5CDD505-2E9C-101B-9397-08002B2CF9AE}" pid="4" name="TNOC_DocumentType">
    <vt:lpwstr/>
  </property>
  <property fmtid="{D5CDD505-2E9C-101B-9397-08002B2CF9AE}" pid="5" name="TNOC_ClusterType">
    <vt:lpwstr>1;#Project|fa11c4c9-105f-402c-bb40-9a56b4989397</vt:lpwstr>
  </property>
  <property fmtid="{D5CDD505-2E9C-101B-9397-08002B2CF9AE}" pid="6" name="TNOC_DocumentCategory">
    <vt:lpwstr/>
  </property>
  <property fmtid="{D5CDD505-2E9C-101B-9397-08002B2CF9AE}" pid="7" name="TNOC_DocumentSetType">
    <vt:lpwstr/>
  </property>
  <property fmtid="{D5CDD505-2E9C-101B-9397-08002B2CF9AE}" pid="8" name="_dlc_DocIdItemGuid">
    <vt:lpwstr>cf9a38e3-e842-47a5-81f2-6b96102a606c</vt:lpwstr>
  </property>
  <property fmtid="{D5CDD505-2E9C-101B-9397-08002B2CF9AE}" pid="9" name="SaveCode">
    <vt:r8>274537146091461</vt:r8>
  </property>
</Properties>
</file>