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8"/>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550" documentId="8_{163FD922-FD81-4007-9478-72CF6DCF214F}" xr6:coauthVersionLast="47" xr6:coauthVersionMax="47" xr10:uidLastSave="{9E426323-85F3-44C7-92D2-7DA888D7B20A}"/>
  <workbookProtection workbookAlgorithmName="SHA-512" workbookHashValue="AUzRAYQxXfQ+fm6hATwwk/NYWseyn8uArtitNGUmJpj525CoxNeWi/XmVir2bi7f1HFXFqqSrmjAvU6BWkg5RQ==" workbookSaltValue="4dKGgGy2o3ud2GD+DaseVg==" workbookSpinCount="100000" lockStructure="1"/>
  <bookViews>
    <workbookView xWindow="-120" yWindow="-120" windowWidth="51840" windowHeight="21240" tabRatio="500" firstSheet="4" activeTab="4" xr2:uid="{00000000-000D-0000-FFFF-FFFF00000000}"/>
  </bookViews>
  <sheets>
    <sheet name="READ ME" sheetId="3" state="hidden" r:id="rId1"/>
    <sheet name="Data input_old" sheetId="7" state="hidden" r:id="rId2"/>
    <sheet name="ESDL change log" sheetId="8" state="hidden" r:id="rId3"/>
    <sheet name="Data input" sheetId="2" state="hidden" r:id="rId4"/>
    <sheet name="Technology Factsheet" sheetId="1" r:id="rId5"/>
    <sheet name="List" sheetId="4" state="hidden" r:id="rId6"/>
    <sheet name="Calculations" sheetId="5" state="hidden" r:id="rId7"/>
    <sheet name="Visual representation" sheetId="6" state="hidden" r:id="rId8"/>
  </sheets>
  <definedNames>
    <definedName name="_ftn1" localSheetId="0">'READ ME'!$C$109</definedName>
    <definedName name="_ftnref1" localSheetId="0">'READ ME'!$C$99</definedName>
    <definedName name="_xlnm.Print_Area" localSheetId="0">'READ ME'!$A$1:$D$112</definedName>
    <definedName name="_xlnm.Print_Area" localSheetId="4">'Technology Factsheet'!$B$41:$O$92</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53" i="2" l="1"/>
  <c r="BA101" i="7" l="1"/>
  <c r="BA100" i="7"/>
  <c r="BA99" i="7"/>
  <c r="BA98" i="7"/>
  <c r="BA97" i="7"/>
  <c r="BA96" i="7"/>
  <c r="BA95" i="7"/>
  <c r="BA94" i="7"/>
  <c r="BA93" i="7"/>
  <c r="BA92" i="7"/>
  <c r="BA91" i="7"/>
  <c r="BA77" i="7"/>
  <c r="BA65" i="7"/>
  <c r="BA57" i="7"/>
  <c r="S53" i="7"/>
  <c r="R53" i="7"/>
  <c r="S51" i="7"/>
  <c r="S49" i="7" s="1"/>
  <c r="R51" i="7"/>
  <c r="R49" i="7" s="1"/>
  <c r="Q51" i="7"/>
  <c r="Q53" i="7" s="1"/>
  <c r="N51" i="7"/>
  <c r="N53" i="7" s="1"/>
  <c r="M51" i="7"/>
  <c r="M53" i="7" s="1"/>
  <c r="L51" i="7"/>
  <c r="L53" i="7" s="1"/>
  <c r="I51" i="7"/>
  <c r="I53" i="7" s="1"/>
  <c r="H51" i="7"/>
  <c r="H53" i="7" s="1"/>
  <c r="G51" i="7"/>
  <c r="G53" i="7" s="1"/>
  <c r="BA45" i="7"/>
  <c r="S43" i="7"/>
  <c r="R43" i="7"/>
  <c r="Q43" i="7"/>
  <c r="N43" i="7"/>
  <c r="M43" i="7"/>
  <c r="L43" i="7"/>
  <c r="J43" i="7"/>
  <c r="I43" i="7"/>
  <c r="H43" i="7"/>
  <c r="G43" i="7"/>
  <c r="E43" i="7"/>
  <c r="P41" i="7"/>
  <c r="N41" i="7"/>
  <c r="M41" i="7"/>
  <c r="L41" i="7"/>
  <c r="K41" i="7"/>
  <c r="I41" i="7"/>
  <c r="H41" i="7"/>
  <c r="G41" i="7"/>
  <c r="E41" i="7"/>
  <c r="E39" i="7"/>
  <c r="S37" i="7"/>
  <c r="S41" i="7" s="1"/>
  <c r="R37" i="7"/>
  <c r="R41" i="7" s="1"/>
  <c r="Q37" i="7"/>
  <c r="Q41" i="7" s="1"/>
  <c r="P37" i="7"/>
  <c r="N37" i="7"/>
  <c r="M37" i="7"/>
  <c r="L37" i="7"/>
  <c r="K37" i="7"/>
  <c r="J37" i="7"/>
  <c r="I37" i="7"/>
  <c r="H37" i="7"/>
  <c r="G37" i="7"/>
  <c r="E37" i="7"/>
  <c r="AZ33" i="7"/>
  <c r="D29" i="7"/>
  <c r="D26" i="7"/>
  <c r="G24" i="7"/>
  <c r="D21" i="7"/>
  <c r="D18" i="7"/>
  <c r="AZ13" i="7"/>
  <c r="AZ11" i="7"/>
  <c r="G49" i="7" l="1"/>
  <c r="H49" i="7"/>
  <c r="I49" i="7"/>
  <c r="L49" i="7"/>
  <c r="M49" i="7"/>
  <c r="N49" i="7"/>
  <c r="Q49" i="7"/>
  <c r="D80" i="1" l="1"/>
  <c r="D76" i="1"/>
  <c r="B76" i="1"/>
  <c r="I73" i="1"/>
  <c r="G73" i="1"/>
  <c r="G72" i="1"/>
  <c r="E43" i="2" l="1"/>
  <c r="D29" i="2"/>
  <c r="E41" i="2"/>
  <c r="G4" i="5"/>
  <c r="G7" i="5"/>
  <c r="G8" i="5"/>
  <c r="J8" i="5" s="1"/>
  <c r="G9" i="5"/>
  <c r="J9" i="5" s="1"/>
  <c r="G11" i="5"/>
  <c r="J11" i="5" s="1"/>
  <c r="G13" i="5"/>
  <c r="J13" i="5" s="1"/>
  <c r="G17" i="5"/>
  <c r="J17" i="5" s="1"/>
  <c r="G18" i="5"/>
  <c r="J18" i="5" s="1"/>
  <c r="I17" i="5"/>
  <c r="I18" i="5"/>
  <c r="H18" i="5" s="1"/>
  <c r="E22" i="5"/>
  <c r="G12" i="5"/>
  <c r="J12" i="5" s="1"/>
  <c r="G20" i="5"/>
  <c r="J20" i="5" s="1"/>
  <c r="I20" i="5"/>
  <c r="G5" i="5"/>
  <c r="J5" i="5" s="1"/>
  <c r="I5" i="5"/>
  <c r="H5" i="5" s="1"/>
  <c r="G6" i="5"/>
  <c r="J6" i="5" s="1"/>
  <c r="I6" i="5"/>
  <c r="H6" i="5" s="1"/>
  <c r="J7" i="5"/>
  <c r="I7" i="5"/>
  <c r="H7" i="5" s="1"/>
  <c r="I8" i="5"/>
  <c r="H8" i="5" s="1"/>
  <c r="I4" i="5"/>
  <c r="I9" i="5"/>
  <c r="H9" i="5" s="1"/>
  <c r="I11" i="5"/>
  <c r="I13" i="5"/>
  <c r="H13" i="5" s="1"/>
  <c r="G10" i="5"/>
  <c r="J10" i="5" s="1"/>
  <c r="I10" i="5"/>
  <c r="H10" i="5" s="1"/>
  <c r="I12" i="5"/>
  <c r="H12" i="5" s="1"/>
  <c r="G14" i="5"/>
  <c r="J14" i="5"/>
  <c r="I14" i="5"/>
  <c r="H14" i="5" s="1"/>
  <c r="K14" i="5"/>
  <c r="G15" i="5"/>
  <c r="J15" i="5" s="1"/>
  <c r="I15" i="5"/>
  <c r="H15" i="5" s="1"/>
  <c r="G16" i="5"/>
  <c r="J16" i="5"/>
  <c r="I16" i="5"/>
  <c r="H17" i="5"/>
  <c r="G19" i="5"/>
  <c r="J19" i="5" s="1"/>
  <c r="I19" i="5"/>
  <c r="J4" i="5"/>
  <c r="H16" i="5"/>
  <c r="H19" i="5"/>
  <c r="H20" i="5"/>
  <c r="H4" i="5"/>
  <c r="E39" i="2"/>
  <c r="AZ80" i="1"/>
  <c r="D69" i="1"/>
  <c r="AZ69" i="1" s="1"/>
  <c r="B78" i="1"/>
  <c r="B74" i="1"/>
  <c r="B72" i="1"/>
  <c r="D72" i="1"/>
  <c r="D78"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3" i="2"/>
  <c r="BA92" i="2"/>
  <c r="BA93" i="2"/>
  <c r="BA94" i="2"/>
  <c r="BA95" i="2"/>
  <c r="BA96" i="2"/>
  <c r="BA97" i="2"/>
  <c r="BA98" i="2"/>
  <c r="BA99" i="2"/>
  <c r="BA100" i="2"/>
  <c r="BA101" i="2"/>
  <c r="BA91" i="2"/>
  <c r="BA77" i="2"/>
  <c r="BA65" i="2"/>
  <c r="BA57" i="2"/>
  <c r="BA45" i="2"/>
  <c r="AZ33" i="2"/>
  <c r="AZ11" i="2"/>
  <c r="O21" i="1"/>
  <c r="M21" i="1"/>
  <c r="L21" i="1"/>
  <c r="J21" i="1"/>
  <c r="I21" i="1"/>
  <c r="G21" i="1"/>
  <c r="M20" i="1"/>
  <c r="J20" i="1"/>
  <c r="G20" i="1"/>
  <c r="O19" i="1"/>
  <c r="M19" i="1"/>
  <c r="L19" i="1"/>
  <c r="J19" i="1"/>
  <c r="I19" i="1"/>
  <c r="G19" i="1"/>
  <c r="M18" i="1"/>
  <c r="J18" i="1"/>
  <c r="G18" i="1"/>
  <c r="B92" i="1"/>
  <c r="AZ92" i="1" s="1"/>
  <c r="B82" i="1"/>
  <c r="AZ82" i="1" s="1"/>
  <c r="F67" i="1"/>
  <c r="F65" i="1"/>
  <c r="F63" i="1"/>
  <c r="F61" i="1"/>
  <c r="E38" i="1"/>
  <c r="E36" i="1"/>
  <c r="E34" i="1"/>
  <c r="E32" i="1"/>
  <c r="D12" i="1"/>
  <c r="AZ12" i="1" s="1"/>
  <c r="D67" i="1"/>
  <c r="D65" i="1"/>
  <c r="D63" i="1"/>
  <c r="D61" i="1"/>
  <c r="D44" i="1"/>
  <c r="D49" i="1"/>
  <c r="D47" i="1"/>
  <c r="D45" i="1"/>
  <c r="F20" i="1"/>
  <c r="F17" i="1"/>
  <c r="D28" i="1"/>
  <c r="AZ28" i="1" s="1"/>
  <c r="D22" i="1"/>
  <c r="B90" i="1"/>
  <c r="AZ90" i="1" s="1"/>
  <c r="B91" i="1"/>
  <c r="AZ91" i="1" s="1"/>
  <c r="B84" i="1"/>
  <c r="AZ84" i="1" s="1"/>
  <c r="B85" i="1"/>
  <c r="AZ85" i="1"/>
  <c r="B86" i="1"/>
  <c r="AZ86" i="1" s="1"/>
  <c r="B87" i="1"/>
  <c r="AZ87" i="1" s="1"/>
  <c r="B88" i="1"/>
  <c r="AZ88" i="1" s="1"/>
  <c r="B89" i="1"/>
  <c r="AZ89" i="1" s="1"/>
  <c r="B83" i="1"/>
  <c r="AZ83" i="1" s="1"/>
  <c r="O73" i="1"/>
  <c r="M73" i="1"/>
  <c r="L73" i="1"/>
  <c r="J73" i="1"/>
  <c r="M72" i="1"/>
  <c r="J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G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D40" i="1"/>
  <c r="AZ40" i="1" s="1"/>
  <c r="O50" i="1"/>
  <c r="M50" i="1"/>
  <c r="O46" i="1"/>
  <c r="M46" i="1"/>
  <c r="L50" i="1"/>
  <c r="J50" i="1"/>
  <c r="L46" i="1"/>
  <c r="J46" i="1"/>
  <c r="I50" i="1"/>
  <c r="G50" i="1"/>
  <c r="I46" i="1"/>
  <c r="G46" i="1"/>
  <c r="I44" i="1"/>
  <c r="G44" i="1"/>
  <c r="M49" i="1"/>
  <c r="M45" i="1"/>
  <c r="J49" i="1"/>
  <c r="J45"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7" i="2"/>
  <c r="D26" i="1"/>
  <c r="D27" i="1"/>
  <c r="D24" i="1"/>
  <c r="D9" i="1"/>
  <c r="M16" i="1"/>
  <c r="G16" i="1"/>
  <c r="G15" i="1"/>
  <c r="D21" i="2"/>
  <c r="D17" i="1" s="1"/>
  <c r="D18" i="2"/>
  <c r="D15" i="1" s="1"/>
  <c r="D11" i="1"/>
  <c r="D6" i="1"/>
  <c r="D10" i="1"/>
  <c r="AZ10" i="1" s="1"/>
  <c r="D7" i="1"/>
  <c r="D8" i="1"/>
  <c r="D4" i="1"/>
  <c r="I48" i="1" l="1"/>
  <c r="G48" i="1"/>
  <c r="J48" i="1"/>
  <c r="L48" i="1"/>
  <c r="J47" i="1"/>
  <c r="M48" i="1"/>
  <c r="M47" i="1"/>
  <c r="O48" i="1"/>
  <c r="K4" i="5"/>
  <c r="K19" i="5"/>
  <c r="K16" i="5"/>
  <c r="K15" i="5"/>
  <c r="K12" i="5"/>
  <c r="K10" i="5"/>
  <c r="K11" i="5"/>
  <c r="K7" i="5"/>
  <c r="K6" i="5"/>
  <c r="K5" i="5"/>
  <c r="K20" i="5"/>
  <c r="K18" i="5"/>
  <c r="K9" i="5"/>
  <c r="K17" i="5"/>
  <c r="K13" i="5"/>
  <c r="K8" i="5"/>
  <c r="G22" i="5"/>
  <c r="K22" i="5"/>
  <c r="J22" i="5"/>
  <c r="H11" i="5"/>
  <c r="H22" i="5" s="1"/>
  <c r="I22" i="5"/>
  <c r="O44" i="1" l="1"/>
  <c r="M44" i="1"/>
  <c r="M43" i="1"/>
  <c r="J43" i="1"/>
  <c r="L44" i="1"/>
  <c r="J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Gamboa Palacios, S. (Silvana)</author>
    <author>Niessink, R.J.M. (Robin)</author>
    <author>tc={8AC6D617-72BD-43CD-893C-95E406385FC4}</author>
  </authors>
  <commentList>
    <comment ref="D5" authorId="0" shapeId="0" xr:uid="{253FFCAD-2EB8-4274-A662-F49D2C68652B}">
      <text>
        <r>
          <rPr>
            <b/>
            <sz val="9"/>
            <color indexed="81"/>
            <rFont val="Tahoma"/>
            <family val="2"/>
          </rPr>
          <t>Gamboa Palacios, S. (Silvana):</t>
        </r>
        <r>
          <rPr>
            <sz val="9"/>
            <color indexed="81"/>
            <rFont val="Tahoma"/>
            <family val="2"/>
          </rPr>
          <t xml:space="preserve">
Align this with the doc title. The name here should the the chosen one for the published factsheet title.</t>
        </r>
      </text>
    </comment>
    <comment ref="G24" authorId="1" shapeId="0" xr:uid="{4F2DDCE3-E968-4E09-9DD9-6CEA7E16C047}">
      <text>
        <r>
          <rPr>
            <b/>
            <sz val="9"/>
            <color indexed="81"/>
            <rFont val="Tahoma"/>
            <family val="2"/>
          </rPr>
          <t>Niessink, R.J.M. (Robin):</t>
        </r>
        <r>
          <rPr>
            <sz val="9"/>
            <color indexed="81"/>
            <rFont val="Tahoma"/>
            <family val="2"/>
          </rPr>
          <t xml:space="preserve">
In 2015 18 PJ of district heating was supplied of which 67% with natural gas fired power plants (and small CHP units) and 7% with natural gas fired back up boilers (source: Monitoring Warmte tables 7 and 13) 
households consumed 327PJ of natural gas in 2015. built environment consumed 463 PJ heat in 2015.</t>
        </r>
      </text>
    </comment>
    <comment ref="D27" authorId="1" shapeId="0" xr:uid="{F178A50E-6130-4A01-8265-9C5CAE40B898}">
      <text>
        <r>
          <rPr>
            <b/>
            <sz val="9"/>
            <color indexed="81"/>
            <rFont val="Tahoma"/>
            <family val="2"/>
          </rPr>
          <t>Niessink, R.J.M. (Robin):</t>
        </r>
        <r>
          <rPr>
            <sz val="9"/>
            <color indexed="81"/>
            <rFont val="Tahoma"/>
            <family val="2"/>
          </rPr>
          <t xml:space="preserve">
Determined by the fact if it is used as base load. Based load figures gas pp =&gt;6000 h/y. Some full load hour figures for coal power plant are given in this report: (e.g. 7500h/y is mentioned)
https://www.climategate.nl/wp-content/uploads/2015/03/ECN-kolencentrale-eemshaven.pdf</t>
        </r>
      </text>
    </comment>
    <comment ref="M33" authorId="2" shapeId="0" xr:uid="{8AC6D617-72BD-43CD-893C-95E406385FC4}">
      <text>
        <t xml:space="preserve">[Threaded comment]
Your version of Excel allows you to read this threaded comment; however, any edits to it will get removed if the file is opened in a newer version of Excel. Learn more: https://go.microsoft.com/fwlink/?linkid=870924
Comment:
    The final heat demand for district heating in the built environment was 18 PJ (12 PJ households + 6 PJ non-residential sector) in 2015 (ECN, 2017a). For comparison, final heat demand of the built environment  is 463 PJ in 2015 (ECN, 2017a).
</t>
      </text>
    </comment>
    <comment ref="H37" authorId="0" shapeId="0" xr:uid="{B30DE28D-5D72-4D8D-8335-6567A055DA09}">
      <text>
        <r>
          <rPr>
            <b/>
            <sz val="9"/>
            <color indexed="81"/>
            <rFont val="Tahoma"/>
            <family val="2"/>
          </rPr>
          <t>Gamboa Palacios, S. (Silvana):</t>
        </r>
        <r>
          <rPr>
            <sz val="9"/>
            <color indexed="81"/>
            <rFont val="Tahoma"/>
            <family val="2"/>
          </rPr>
          <t xml:space="preserve">
Did you convert all costs to EUR2015 based on the table in the README tab? Please check this. </t>
        </r>
      </text>
    </comment>
    <comment ref="E43" authorId="0" shapeId="0" xr:uid="{6741FF6F-06A9-4B35-8294-EFF5D0B80072}">
      <text>
        <r>
          <rPr>
            <b/>
            <sz val="9"/>
            <color indexed="81"/>
            <rFont val="Tahoma"/>
            <family val="2"/>
          </rPr>
          <t>Gamboa Palacios, S. (Silvana):</t>
        </r>
        <r>
          <rPr>
            <sz val="9"/>
            <color indexed="81"/>
            <rFont val="Tahoma"/>
            <family val="2"/>
          </rPr>
          <t xml:space="preserve">
You can always change this to MWh manually, if that is easier next time! Just make sure to change in the factsheet itself as well.</t>
        </r>
      </text>
    </comment>
    <comment ref="D45" authorId="0" shapeId="0" xr:uid="{DA2EE096-1A12-418D-9B70-BC2459171A8E}">
      <text>
        <r>
          <rPr>
            <b/>
            <sz val="9"/>
            <color indexed="81"/>
            <rFont val="Tahoma"/>
            <family val="2"/>
          </rPr>
          <t>Gamboa Palacios, S. (Silvana):</t>
        </r>
        <r>
          <rPr>
            <sz val="9"/>
            <color indexed="81"/>
            <rFont val="Tahoma"/>
            <family val="2"/>
          </rPr>
          <t xml:space="preserve">
No need to specify in the tekst the details on monetary conversions. All the factsheets use the same conversions to EUR2015, just make sure that all of the costs are converted and aligned.</t>
        </r>
      </text>
    </comment>
    <comment ref="D77" authorId="0" shapeId="0" xr:uid="{4D83ED03-7B0E-4CD2-B91E-4DEE9FF3AB0B}">
      <text>
        <r>
          <rPr>
            <b/>
            <sz val="9"/>
            <color indexed="81"/>
            <rFont val="Tahoma"/>
            <family val="2"/>
          </rPr>
          <t>Gamboa Palacios, S. (Silvana):</t>
        </r>
        <r>
          <rPr>
            <sz val="9"/>
            <color indexed="81"/>
            <rFont val="Tahoma"/>
            <family val="2"/>
          </rPr>
          <t xml:space="preserve">
What about the CO2 emissions?</t>
        </r>
      </text>
    </comment>
    <comment ref="G82" authorId="1" shapeId="0" xr:uid="{5D5FC4C4-DE80-41E2-8CBE-B29B71CBCB67}">
      <text>
        <r>
          <rPr>
            <b/>
            <sz val="9"/>
            <color indexed="81"/>
            <rFont val="Tahoma"/>
            <family val="2"/>
          </rPr>
          <t>Niessink, R.J.M. (Robin):</t>
        </r>
        <r>
          <rPr>
            <sz val="9"/>
            <color indexed="81"/>
            <rFont val="Tahoma"/>
            <family val="2"/>
          </rPr>
          <t xml:space="preserve">
Losses electricity production for drainage heat (residual heat extraction) (in Dutch: aftap/uitkoppeling restwarmte) 
(source ECN (2011) page 40:
According to uniforme maatlat 0,18GJe/GJth at a temperature of 120Celsius.
0,09GJe/GJth at a temperature of 80Celsius.</t>
        </r>
      </text>
    </comment>
    <comment ref="C97" authorId="1" shapeId="0" xr:uid="{6D11C2C1-5109-4DC9-96E3-C2189C4A89C3}">
      <text>
        <r>
          <rPr>
            <b/>
            <sz val="9"/>
            <color indexed="81"/>
            <rFont val="Tahoma"/>
            <family val="2"/>
          </rPr>
          <t>Niessink, R.J.M. (Robin):</t>
        </r>
        <r>
          <rPr>
            <sz val="9"/>
            <color indexed="81"/>
            <rFont val="Tahoma"/>
            <family val="2"/>
          </rPr>
          <t xml:space="preserve">
see ECN (2011) table C.2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Gamboa Palacios, S. (Silvana)</author>
    <author>tc={6F54F1DD-75F3-425A-AEEE-D16116D429F9}</author>
    <author>Niessink, R.J.M. (Robin)</author>
    <author>tc={3F31CAE6-05A8-456D-889F-D1E3B9BCAAE8}</author>
  </authors>
  <commentList>
    <comment ref="D5" authorId="0" shapeId="0" xr:uid="{DAAABBDF-17AC-4BE0-A689-E468EEB9A2B1}">
      <text>
        <r>
          <rPr>
            <b/>
            <sz val="9"/>
            <color indexed="81"/>
            <rFont val="Tahoma"/>
            <family val="2"/>
          </rPr>
          <t>Gamboa Palacios, S. (Silvana):</t>
        </r>
        <r>
          <rPr>
            <sz val="9"/>
            <color indexed="81"/>
            <rFont val="Tahoma"/>
            <family val="2"/>
          </rPr>
          <t xml:space="preserve">
Align this with the doc title. The name here should the the chosen one for the published factsheet title.</t>
        </r>
      </text>
    </comment>
    <comment ref="D15" authorId="1" shapeId="0" xr:uid="{6F54F1DD-75F3-425A-AEEE-D16116D429F9}">
      <text>
        <t>[Threaded comment]
Your version of Excel allows you to read this threaded comment; however, any edits to it will get removed if the file is opened in a newer version of Excel. Learn more: https://go.microsoft.com/fwlink/?linkid=870924
Comment:
    Used MW instead od MWe (as indicated thorugh comments)</t>
      </text>
    </comment>
    <comment ref="G24" authorId="2" shapeId="0" xr:uid="{FAF37DAA-53C4-421F-94E6-BEC95F05DB37}">
      <text>
        <r>
          <rPr>
            <b/>
            <sz val="9"/>
            <color indexed="81"/>
            <rFont val="Tahoma"/>
            <family val="2"/>
          </rPr>
          <t>Niessink, R.J.M. (Robin):</t>
        </r>
        <r>
          <rPr>
            <sz val="9"/>
            <color indexed="81"/>
            <rFont val="Tahoma"/>
            <family val="2"/>
          </rPr>
          <t xml:space="preserve">
In 2015 18 PJ of district heating was supplied of which 67% with natural gas fired power plants (and small CHP units) and 7% with natural gas fired back up boilers (source: Monitoring Warmte tables 7 and 13) 
households consumed 327PJ of natural gas in 2015. built environment consumed 463 PJ heat in 2015.</t>
        </r>
      </text>
    </comment>
    <comment ref="D27" authorId="2" shapeId="0" xr:uid="{2997E966-EFE4-4A3A-A3DC-E44513CEB33F}">
      <text>
        <r>
          <rPr>
            <b/>
            <sz val="9"/>
            <color indexed="81"/>
            <rFont val="Tahoma"/>
            <family val="2"/>
          </rPr>
          <t>Niessink, R.J.M. (Robin):</t>
        </r>
        <r>
          <rPr>
            <sz val="9"/>
            <color indexed="81"/>
            <rFont val="Tahoma"/>
            <family val="2"/>
          </rPr>
          <t xml:space="preserve">
Determined by the fact if it is used as base load. Based load figures gas pp =&gt;6000 h/y. Some full load hour figures for coal power plant are given in this report: (e.g. 7500h/y is mentioned)
https://www.climategate.nl/wp-content/uploads/2015/03/ECN-kolencentrale-eemshaven.pdf</t>
        </r>
      </text>
    </comment>
    <comment ref="M33" authorId="3" shapeId="0" xr:uid="{3F31CAE6-05A8-456D-889F-D1E3B9BCAAE8}">
      <text>
        <t xml:space="preserve">[Threaded comment]
Your version of Excel allows you to read this threaded comment; however, any edits to it will get removed if the file is opened in a newer version of Excel. Learn more: https://go.microsoft.com/fwlink/?linkid=870924
Comment:
    The final heat demand for district heating in the built environment was 18 PJ (12 PJ households + 6 PJ non-residential sector) in 2015 (ECN, 2017a). For comparison, final heat demand of the built environment  is 463 PJ in 2015 (ECN, 2017a).
</t>
      </text>
    </comment>
    <comment ref="H37" authorId="0" shapeId="0" xr:uid="{44FBB2F1-A570-4DA1-94A0-C023B4169136}">
      <text>
        <r>
          <rPr>
            <b/>
            <sz val="9"/>
            <color indexed="81"/>
            <rFont val="Tahoma"/>
            <family val="2"/>
          </rPr>
          <t>Gamboa Palacios, S. (Silvana):</t>
        </r>
        <r>
          <rPr>
            <sz val="9"/>
            <color indexed="81"/>
            <rFont val="Tahoma"/>
            <family val="2"/>
          </rPr>
          <t xml:space="preserve">
Did you convert all costs to EUR2015 based on the table in the README tab? Please check this. </t>
        </r>
      </text>
    </comment>
    <comment ref="E43" authorId="0" shapeId="0" xr:uid="{8D38C449-BEE9-4C5B-A283-6AC9B597A832}">
      <text>
        <r>
          <rPr>
            <b/>
            <sz val="9"/>
            <color indexed="81"/>
            <rFont val="Tahoma"/>
            <family val="2"/>
          </rPr>
          <t>Gamboa Palacios, S. (Silvana):</t>
        </r>
        <r>
          <rPr>
            <sz val="9"/>
            <color indexed="81"/>
            <rFont val="Tahoma"/>
            <family val="2"/>
          </rPr>
          <t xml:space="preserve">
You can always change this to MWh manually, if that is easier next time! Just make sure to change in the factsheet itself as well.</t>
        </r>
      </text>
    </comment>
    <comment ref="D45" authorId="0" shapeId="0" xr:uid="{E585F4F4-751A-43D7-80F6-6ADBC3B89BD2}">
      <text>
        <r>
          <rPr>
            <b/>
            <sz val="9"/>
            <color indexed="81"/>
            <rFont val="Tahoma"/>
            <family val="2"/>
          </rPr>
          <t>Gamboa Palacios, S. (Silvana):</t>
        </r>
        <r>
          <rPr>
            <sz val="9"/>
            <color indexed="81"/>
            <rFont val="Tahoma"/>
            <family val="2"/>
          </rPr>
          <t xml:space="preserve">
No need to specify in the tekst the details on monetary conversions. All the factsheets use the same conversions to EUR2015, just make sure that all of the costs are converted and aligned.</t>
        </r>
      </text>
    </comment>
    <comment ref="D77" authorId="0" shapeId="0" xr:uid="{FD33A0E8-7532-4C8B-923E-9D5B946B51A3}">
      <text>
        <r>
          <rPr>
            <b/>
            <sz val="9"/>
            <color indexed="81"/>
            <rFont val="Tahoma"/>
            <family val="2"/>
          </rPr>
          <t>Gamboa Palacios, S. (Silvana):</t>
        </r>
        <r>
          <rPr>
            <sz val="9"/>
            <color indexed="81"/>
            <rFont val="Tahoma"/>
            <family val="2"/>
          </rPr>
          <t xml:space="preserve">
What about the CO2 emissions?</t>
        </r>
      </text>
    </comment>
    <comment ref="G82" authorId="2" shapeId="0" xr:uid="{2333489F-62FB-4118-AA1D-3E67D63E39E4}">
      <text>
        <r>
          <rPr>
            <b/>
            <sz val="9"/>
            <color indexed="81"/>
            <rFont val="Tahoma"/>
            <family val="2"/>
          </rPr>
          <t>Niessink, R.J.M. (Robin):</t>
        </r>
        <r>
          <rPr>
            <sz val="9"/>
            <color indexed="81"/>
            <rFont val="Tahoma"/>
            <family val="2"/>
          </rPr>
          <t xml:space="preserve">
Losses electricity production for drainage heat (residual heat extraction) (in Dutch: aftap/uitkoppeling restwarmte) 
(source ECN (2011) page 40:
According to uniforme maatlat 0,18GJe/GJth at a temperature of 120Celsius.
0,09GJe/GJth at a temperature of 80Celsius.</t>
        </r>
      </text>
    </comment>
    <comment ref="C97" authorId="2" shapeId="0" xr:uid="{62932DE8-96C1-4A32-AAB9-8F5A214A6B43}">
      <text>
        <r>
          <rPr>
            <b/>
            <sz val="9"/>
            <color indexed="81"/>
            <rFont val="Tahoma"/>
            <family val="2"/>
          </rPr>
          <t>Niessink, R.J.M. (Robin):</t>
        </r>
        <r>
          <rPr>
            <sz val="9"/>
            <color indexed="81"/>
            <rFont val="Tahoma"/>
            <family val="2"/>
          </rPr>
          <t xml:space="preserve">
see ECN (2011) table C.2</t>
        </r>
      </text>
    </comment>
  </commentList>
</comments>
</file>

<file path=xl/sharedStrings.xml><?xml version="1.0" encoding="utf-8"?>
<sst xmlns="http://schemas.openxmlformats.org/spreadsheetml/2006/main" count="1748" uniqueCount="440">
  <si>
    <t>GENERAL INSTRUCTIONS</t>
  </si>
  <si>
    <t>●</t>
  </si>
  <si>
    <t>The technology factsheet contains information about one specific option (e.g. capacity, potential, costs, energy and emission effects and supporting descriptions).</t>
  </si>
  <si>
    <t>The factsheet must be filled-in by the technical experts in the technology field and used as a reference internally (i.e.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</si>
  <si>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</si>
  <si>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</si>
  <si>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</si>
  <si>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Units and conversion factors are found below.</t>
  </si>
  <si>
    <t>Lists of sectors, units, energy carriers, etc. are found in the 'List' tab.</t>
  </si>
  <si>
    <t>The 'Factsheet' and 'List' tabs are locked. If a change is necessary, please send a request to Silvana Gamboa or Koen Smekens.</t>
  </si>
  <si>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</si>
  <si>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</si>
  <si>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</si>
  <si>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</si>
  <si>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</si>
  <si>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</si>
  <si>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</si>
  <si>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</si>
  <si>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</si>
  <si>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</si>
  <si>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</si>
  <si>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</si>
  <si>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</si>
  <si>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</si>
  <si>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</si>
  <si>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</si>
  <si>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</si>
  <si>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</si>
  <si>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</si>
  <si>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</si>
  <si>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</si>
  <si>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</si>
  <si>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</si>
  <si>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</si>
  <si>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</si>
  <si>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</si>
  <si>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</si>
  <si>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</si>
  <si>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</si>
  <si>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</si>
  <si>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</si>
  <si>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</si>
  <si>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</si>
  <si>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</si>
  <si>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</si>
  <si>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</si>
  <si>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</si>
  <si>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</si>
  <si>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</si>
  <si>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</si>
  <si>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</si>
  <si>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</si>
  <si>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</si>
  <si>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</si>
  <si>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</si>
  <si>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</si>
  <si>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</si>
  <si>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</si>
  <si>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</si>
  <si>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</si>
  <si>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</si>
  <si>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</si>
  <si>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</si>
  <si>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</si>
  <si>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</si>
  <si>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</si>
  <si>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</si>
  <si>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</si>
  <si>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</si>
  <si>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</si>
  <si>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</si>
  <si>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</si>
  <si>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</si>
  <si>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</si>
  <si>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</si>
  <si>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</si>
  <si>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</si>
  <si>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</si>
  <si>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</si>
  <si>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</si>
  <si>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</si>
  <si>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</si>
  <si>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</si>
  <si>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</si>
  <si>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</si>
  <si>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</si>
  <si>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</si>
  <si>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</si>
  <si>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</si>
  <si>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</si>
  <si>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</si>
  <si>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</si>
  <si>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</si>
  <si>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</si>
  <si>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</si>
  <si>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</si>
  <si>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</si>
  <si>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</si>
  <si>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</si>
  <si>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</si>
  <si>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</si>
  <si>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</si>
  <si>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</si>
  <si>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</si>
  <si>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</si>
  <si>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</si>
  <si>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</si>
  <si>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</si>
  <si>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</si>
  <si>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</si>
  <si>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</si>
  <si>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</si>
  <si>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</si>
  <si>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</si>
  <si>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</si>
  <si>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</si>
  <si>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</si>
  <si>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</si>
  <si>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</si>
  <si>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</si>
  <si>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</si>
  <si>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</si>
  <si>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</si>
  <si>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</si>
  <si>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</si>
  <si>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</si>
  <si>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values: Add references for each value in their 'Reference' cell (i.e. author and year) and aggregate all references with complete description at the bottom of the 'Data input' tab. If more than 10 references, add other sources under 'Others' box.</t>
  </si>
  <si>
    <t>For other data: Add all data sources with complete description at the bottom of the 'Data input' tab.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</si>
  <si>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</si>
  <si>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</si>
  <si>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</si>
  <si>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</si>
  <si>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</si>
  <si>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</si>
  <si>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</si>
  <si>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</si>
  <si>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</si>
  <si>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</si>
  <si>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</si>
  <si>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</si>
  <si>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</si>
  <si>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</si>
  <si>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</si>
  <si>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</si>
  <si>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</si>
  <si>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</si>
  <si>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</si>
  <si>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</si>
  <si>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</si>
  <si>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</si>
  <si>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</si>
  <si>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</si>
  <si>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</si>
  <si>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</si>
  <si>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</si>
  <si>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</si>
  <si>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</si>
  <si>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</si>
  <si>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</si>
  <si>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</si>
  <si>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</si>
  <si>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</si>
  <si>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</si>
  <si>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</si>
  <si>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</si>
  <si>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FACTSHEET DATA INPUT</t>
  </si>
  <si>
    <t>Please fill-in here all technology option data including detailed references and sources at the bottom.</t>
  </si>
  <si>
    <t>TECHNOLOGY DESCRIPTION</t>
  </si>
  <si>
    <t>Name of technology option</t>
  </si>
  <si>
    <t>Gas-fired CHP Plant - Electricity Production and District Heating</t>
  </si>
  <si>
    <t>Date of factsheet</t>
  </si>
  <si>
    <t>Built environment</t>
  </si>
  <si>
    <t>Other sectors</t>
  </si>
  <si>
    <t>http://www.ipieca.org/resources/energy-efficiency-solutions/power-and-heat-generation/combined-cycle-gas-turbines/</t>
  </si>
  <si>
    <t>ETS</t>
  </si>
  <si>
    <t>CHP</t>
  </si>
  <si>
    <r>
      <rPr>
        <b/>
        <sz val="11"/>
        <color theme="1"/>
        <rFont val="Calibri"/>
        <family val="2"/>
      </rPr>
      <t>Working of the Technology:</t>
    </r>
    <r>
      <rPr>
        <sz val="11"/>
        <color theme="1"/>
        <rFont val="Calibri"/>
        <family val="2"/>
      </rPr>
      <t xml:space="preserve">
A 'modern' natural gas-fired power plant can be a combined heat and power plant (CHP). In case of a combined cycle gas turbine/CCGT (Dutch: Stoom en Gasturbine/STEG) there is a gas turbine and steam turbine. In the first turbine, gas is expanded to drive the turbine. The second turbine, a steam turbine, is being driven by the residual heat of the gas turbine. Water is evaporated using heat from the waste heat recovery unit steam generator (heat exchanger) to produce high pressure steam which is expanded in a steam turbine to generate electricity using a generator. From the drain of a steam turbine, heat can be fed into a heat distribution network. Heat can be supplied to different sectors such as the built environment or industry. This factsheet focuses on a CHP plant that delivers heat to the built environment. A CHP plant without carbon capture and storage (CCS) is considered in this factsheet.
</t>
    </r>
    <r>
      <rPr>
        <b/>
        <sz val="11"/>
        <color theme="1"/>
        <rFont val="Calibri"/>
        <family val="2"/>
      </rPr>
      <t>Main components:</t>
    </r>
    <r>
      <rPr>
        <sz val="11"/>
        <color theme="1"/>
        <rFont val="Calibri"/>
        <family val="2"/>
      </rPr>
      <t xml:space="preserve">
Components of a gas-fired power plant for the production of electricity and district heating typically are an (inlet) air compressor,  gas turbine and generator, heat recovery boiler, economiser/heat exchanger (i.e. feedwater heaters; commonly used as part of a heat recovery steam generator in a combined cycle power plant), steam turbine(s) and generator, condensor, cooling technique, and flue gas cleaning equipment.
</t>
    </r>
    <r>
      <rPr>
        <b/>
        <sz val="11"/>
        <color theme="1"/>
        <rFont val="Calibri"/>
        <family val="2"/>
      </rPr>
      <t>Energy production related aspects:</t>
    </r>
    <r>
      <rPr>
        <sz val="11"/>
        <color theme="1"/>
        <rFont val="Calibri"/>
        <family val="2"/>
      </rPr>
      <t xml:space="preserve">
The downside of utilizing heat for district heating is that the electrical efficiency of the CHP plant is lowered (loss of electricity production) (ECN, 2011). Loss of electricity production (GJe/GJth supplied) depends on the temperature of heat disconnection. Figures about losses are included in this factsheet. 
Besides CO2 emissions, a STEG also emits NOx (Ecofys, 2014). A power plant is equipped with flue gas cleaners to limit NOx emissions. The flue gas cleaner is included in the costs presented in this factsheet.
</t>
    </r>
  </si>
  <si>
    <t>TRL level 2020</t>
  </si>
  <si>
    <t>The technology is already being applied on a large-scale and can therefore be considered to be mature. A substantial amount of the installed capacity in the electricity sector in the Netherlands consists of gas-fired CHP (ECN, 2017b). Gas-fired CHP is one of the main heat sources for district heating in the Netherlands in 2015 (ECN, 2017a).</t>
  </si>
  <si>
    <t>MWe</t>
  </si>
  <si>
    <t>Functional Unit</t>
  </si>
  <si>
    <t>Main Source</t>
  </si>
  <si>
    <t>Source 2</t>
  </si>
  <si>
    <t>Source 3</t>
  </si>
  <si>
    <t>Source 4</t>
  </si>
  <si>
    <t>Source 5</t>
  </si>
  <si>
    <t>IEA (2015)</t>
  </si>
  <si>
    <t>Ecofys (2014)</t>
  </si>
  <si>
    <t>Reference</t>
  </si>
  <si>
    <t>Context</t>
  </si>
  <si>
    <t>2020 (Current)</t>
  </si>
  <si>
    <t>NL</t>
  </si>
  <si>
    <t>Market share</t>
  </si>
  <si>
    <t>%</t>
  </si>
  <si>
    <t>Share of final heat demand built environment</t>
  </si>
  <si>
    <t>ECN (2017)</t>
  </si>
  <si>
    <t>PJe/year</t>
  </si>
  <si>
    <t>Yes</t>
  </si>
  <si>
    <t>Explanation</t>
  </si>
  <si>
    <r>
      <rPr>
        <b/>
        <sz val="11"/>
        <rFont val="Calibri"/>
        <family val="2"/>
      </rPr>
      <t>Typical Electric and Heat Capacity Of Gas-fired Power Plants</t>
    </r>
    <r>
      <rPr>
        <sz val="11"/>
        <rFont val="Calibri"/>
        <family val="2"/>
      </rPr>
      <t xml:space="preserve">
The electrical capacity of most STEG plants in different OECD countries ranges between 280 and 900MWe (IEA, 2015). In the Netherlands the electrical capacity of STEG plants ranges between 200 and 900MWe (Ecofys, 2014). Here, 500 MWe is taken as an average.
Full load hours per year for electricity production are case-dependent. It depends strongly on the position of these plants within the electricity market (ECN, 2017b). The increasing share of intermittent renewable electricity generation may decrease full load hours, because  plants do not have to operate when there is sufficient production from renewable sources (ECN, 2019). Gas-fired CHP could then provide back-up capacity. From a general historical perspective, a gas-fired CHP plant used for district heating typically runs as base load plant for electricity production; 6.000 to 8.000 full load hours per year (ECN, 2010; Gasterra, 2008). In case of 7.000 full loads hours this translates to a capacity utilitization factor of 80%. Indeed, IEA (2010) indicates 75 to 85% as capacity utilization factor for a CCGT CHP (IEA ETSAP, 2010). A CHP plant with a capacity of 500 MWe and 7.000 full load hours produces 12,6 PJe per year. Full load hours for heat delivery are not the same. Indeed, heat demand peaks in winter and in other seasons there is a (much) lower heat demand. Heat is available when the plant produces electricity, but due to limited overlap with the heat demand only 30 to 45% of the available heat can be supplied per year (ECN, 2011). 
For example, consider a large scale district heating network that supplies about 1 PJth per year, as average for the Netherlands (ECN, 2017a). About 25% heat losses can be assumed in a heat network (ECN, 2017a). This means the heat source needs to produce about 1,3 PJth per year. Assuming 4.500 full load hours (Energy Matters, 2012), the needed thermal output capacity for district heating is 82MWth.
A minimum heat disconnection capacity for district heating is 10MWth (Ecofys, 2014).
</t>
    </r>
    <r>
      <rPr>
        <b/>
        <sz val="11"/>
        <rFont val="Calibri"/>
        <family val="2"/>
      </rPr>
      <t>Heat Supply by Gas-fired Power Plants In The Netherlands</t>
    </r>
    <r>
      <rPr>
        <sz val="11"/>
        <rFont val="Calibri"/>
        <family val="2"/>
      </rPr>
      <t xml:space="preserve">
About 4% of the final heat demand in the built environment (463 PJ in 2015 based on ECN, 2017a) in the Netherlands is supplied with district heating in 2015 (ECN, 2017a). In 2015, 67% of final heat demand of large scale heat networks (18 PJ) is supplied by (natural gas and coal fired) CHP plants, this figure is also including small gas-fired CHP units (ECN, 2017a). Excluding heat supplied by coal-fired CHP (2,7 PJ in 2015 based on ECN, 2017a), this results in a share of about 2% for gas-fired CHP plants in the final heat demand of the built environment. This share is expected to decrease as the share of sustainable heat goes up.
</t>
    </r>
    <r>
      <rPr>
        <b/>
        <sz val="11"/>
        <rFont val="Calibri"/>
        <family val="2"/>
      </rPr>
      <t>Technical Lifetime Gas-fired Power Plants</t>
    </r>
    <r>
      <rPr>
        <sz val="11"/>
        <rFont val="Calibri"/>
        <family val="2"/>
      </rPr>
      <t xml:space="preserve">
ETRI indicates a technical lifetime of 30 years for a CCGT CHP (ETRI, 2014). ECN indicates a technical lifetime of 30 years for a gas-fired CHP (ECN, 2011). IEA (2010) indicates a technical lifetime of 25 years for a CCGT CHP (IEA ETSAP, 2010).
</t>
    </r>
  </si>
  <si>
    <t>COSTS</t>
  </si>
  <si>
    <t xml:space="preserve">Reference year: €2015 - If amounts are expresed in other currencies or in euros of another year (e.g. €2014), the amount has to be converted. See conversion method in 'READ ME' tab. Costs are per unit of output. </t>
  </si>
  <si>
    <t xml:space="preserve">mln. € / </t>
  </si>
  <si>
    <t>ETRI (2014)</t>
  </si>
  <si>
    <t>Energy Matters (2012)</t>
  </si>
  <si>
    <t>IEA ETSAP (2010)</t>
  </si>
  <si>
    <t>Other costs per year</t>
  </si>
  <si>
    <t>Fixed operational costs per year (excl. fuel costs)</t>
  </si>
  <si>
    <t>Variable costs per year (exc. Fuel costs)</t>
  </si>
  <si>
    <t>Costs explanation</t>
  </si>
  <si>
    <r>
      <rPr>
        <b/>
        <sz val="11"/>
        <color theme="1"/>
        <rFont val="Calibri"/>
        <family val="2"/>
      </rPr>
      <t>Overview:</t>
    </r>
    <r>
      <rPr>
        <sz val="11"/>
        <color theme="1"/>
        <rFont val="Calibri"/>
        <family val="2"/>
      </rPr>
      <t xml:space="preserve">
The ETRI (2014), Energy Matters (2012), IEA ETSAP (2010) and PBL (2017) and ECN (2011) reports provide information on gas-fired CHP' investment costs/capital expense (CAPEX), fixed operational costs (FOM), and variable operational costs (VOM). Costs are described for different capacity levels expressed per unit of capacity.</t>
    </r>
    <r>
      <rPr>
        <b/>
        <sz val="11"/>
        <color theme="1"/>
        <rFont val="Calibri"/>
        <family val="2"/>
      </rPr>
      <t xml:space="preserve">
Costs explanation per source:</t>
    </r>
    <r>
      <rPr>
        <sz val="11"/>
        <color theme="1"/>
        <rFont val="Calibri"/>
        <family val="2"/>
      </rPr>
      <t xml:space="preserve">
•	ETRI (2014) indicates the CAPEX of a CCGT advanced CHP (ETRI, 2014). ETRI indicates a CAPEX of 870-1210 €/kWe for the plant in 2020, a CAPEX of 850-1180 €/kWe for the plant in 2030 and a CAPEX of 830-1150 €/kWe for the plant in 2050. The FOM costs per year in 2020, 2030 and 2050 amount to 5,2% of the CAPEX, namely 3,9% for FOM and 1,3% for FOM refurbishment (ETRI, 2014). The VOM costs per year in 2020, 2030 and 2050 amount to 4 €/MWh (ETRI, 2014) and these are converted to €/MWe assuming 7.000 full load hours per year. In the CAPEX the following cost components are included (ETRI, 2014): Civil and structural costs, Major equipment costs, Electrical and I&amp;C supply and installation, Project indirect costs, Development costs and Interconnection costs. Costs not included are: Balance of plant costs and Insurance costs (ETRI, 2014).
• Energy Matters (2012) indicates investment costs of a STEG with capacity of 120MWe (Energy Matters, 2012). Energy Matters indicates an investment of 1.050 euros/kWe. CAPEX ncludes Ci</t>
    </r>
    <r>
      <rPr>
        <sz val="11"/>
        <rFont val="Calibri"/>
        <family val="2"/>
      </rPr>
      <t>vil and structural costs, Major equipment costs including</t>
    </r>
    <r>
      <rPr>
        <sz val="11"/>
        <color theme="1"/>
        <rFont val="Calibri"/>
        <family val="2"/>
      </rPr>
      <t xml:space="preserve"> heat disconnection costs. Fixed operational costs are zero (Energy Matters, 2012). Variable costs per year are 2,52 Million Euros per year (Energy Matters, 2012). This plant is used for electricity production and disctrict heating. 
• According to the IEA (2010) the investment cost of CCGT CHP plant (including indirect costs or IDC) is in the range of $1100 to $1800/kWe , which is 10-45% higher than the cost of a power plant, depending  on the capacity of the plant (IEA ETSAP, 2010).  Typical investment costs amount to $1300/kWe (inc. IDC). The O&amp;M costs, which are given as the total of fixed and variable, are in the range of $40/kWe to $60/kWe per year (typically $50/kWe). According to the IEA (2010) projection, incremental improvements and technology learning may lead to investment cost of $1200/kWe by 2020 and $1100/kWe by 2030 (IEA ETSAP, 2010). 
When a CHP plant supplies heat to a heat network for the first time, there are additional investment costs for heat disconnection:
• PBL (2017) indicates an investment of 150-175 euros2017/kWth,output (PBL, 2017). The costs consist of the investment/CAPEX for heat disconnection (Dutch: 'kosten warmteuitkoppeling'). The fixed operational costs per year are 5% of the investment.
• ECN (2011) indicates an investment of 300 euros2011/kWth,output (ECN, 2011). The costs indicated consist of the investment/CAPEX for heat disconnection (Dutch: 'kosten warmteuitkoppeling'). 
</t>
    </r>
  </si>
  <si>
    <t xml:space="preserve">Values expressed as a ratio per unit of main output. Inputs  as positive and outputs as negative. </t>
  </si>
  <si>
    <t>Energy carrier</t>
  </si>
  <si>
    <t>Unit</t>
  </si>
  <si>
    <t>Energy carriers (per unit of main output)</t>
  </si>
  <si>
    <t>Electricity</t>
  </si>
  <si>
    <t>ECN (2011)</t>
  </si>
  <si>
    <t>Natural gas</t>
  </si>
  <si>
    <t>Heat</t>
  </si>
  <si>
    <t>Please select</t>
  </si>
  <si>
    <t>Energy in- and Outputs explanation</t>
  </si>
  <si>
    <r>
      <rPr>
        <b/>
        <sz val="11"/>
        <color theme="1"/>
        <rFont val="Calibri"/>
        <family val="2"/>
      </rPr>
      <t>Overview:</t>
    </r>
    <r>
      <rPr>
        <sz val="11"/>
        <color theme="1"/>
        <rFont val="Calibri"/>
        <family val="2"/>
      </rPr>
      <t xml:space="preserve">
The electrical efficiency of existing combined cycle gas turbines in different OECD countries ranges between 3</t>
    </r>
    <r>
      <rPr>
        <sz val="11"/>
        <rFont val="Calibri"/>
        <family val="2"/>
      </rPr>
      <t>9%</t>
    </r>
    <r>
      <rPr>
        <sz val="11"/>
        <color theme="1"/>
        <rFont val="Calibri"/>
        <family val="2"/>
      </rPr>
      <t xml:space="preserve"> and 61% (IEA, 2015). Depending on capacity of the plant, generally lower efficiencies are found for smaller units and higher efficiencies for larger units (Gasterra, 2008). 
The electrical efficiency of a CHP plant can only improve marginally due to further technical optimizations. The maximum possible efficiency of any heat engine is defined as the Carnot efficiency, which is not obtainable in practice. 
According to ETRI (2014) current combined cycle power plants used for cogeneration have a typical electrical efficiency of 59% at peak electrical load and a thermal efficiency of 46% at peak thermal load (ETRI, 2014). Peak load efficiency means the efficiency if the plant maximizes one of its outputs. In case of CHP, a higher heat output lowers the electricity output and vice versa.
</t>
    </r>
    <r>
      <rPr>
        <b/>
        <sz val="11"/>
        <color theme="1"/>
        <rFont val="Calibri"/>
        <family val="2"/>
      </rPr>
      <t>Ratios (used to determine min.-max. range in table above):</t>
    </r>
    <r>
      <rPr>
        <sz val="11"/>
        <color theme="1"/>
        <rFont val="Calibri"/>
        <family val="2"/>
      </rPr>
      <t xml:space="preserve">
• ECN (2011) indicates a 57% electrical efficiency and (possible) thermal efficiency of 40% for a gas-fired CHP plant used for electricity production and district heating (ECN, 2011). Disconnecting 0,4GJth at 120 °C per GJ natural gas input results in a decrease of electricicity production from 0,57GJe to 0,5GJe (ECN, 2011). For 2020, 2030 and 2050 the same values are assumed.
• Energy Matters (2012) indicates a 42% thermal efficiency and a 43% electrical efficiency for a gas-fired combined cycle CHP used for large scale district heating (Energy Matters, 2012). For 2020, 2030 and 2050 the same values are assumed.
• IEA ETSAP (2010) indicates an electrical efficiency of 42-47% for a natural gas-fired combined cycle CHP and a thermal efficiency (steam) of 33-38% (IEA ETSAP, 2010). The 2020 projection is  an electrical efficiency of 44-48% (46%) and a thermal efficiency of 32-36% (34%). The 2030 projection is  an electrical efficiency of 46-49% (47,5%) and a thermal efficiency of 31-34% (32,5%) (IEA ETSAP, 2010). For 2050 the same efficiencies as 2030 are assumed.
</t>
    </r>
    <r>
      <rPr>
        <b/>
        <sz val="11"/>
        <color theme="1"/>
        <rFont val="Calibri"/>
        <family val="2"/>
      </rPr>
      <t>Other ratios:</t>
    </r>
    <r>
      <rPr>
        <sz val="11"/>
        <color theme="1"/>
        <rFont val="Calibri"/>
        <family val="2"/>
      </rPr>
      <t xml:space="preserve">
• ETRI (2014) presents energy efficiencies of a CCGT advanced CHP (ETRI, 2014). Efficiencies at peak thermal load or peak electrical load are given in the report, which means that the plant maximizes either its heat or electricity output. In 2020, the max. thermal efficiency is 46% and the max. electrical efficiency is 59% (ETRI, 2014). In 2030, the max. thermal efficiency is 47% and the max. electrical efficiency is 61% (ETRI, 2014). In 2050, the max. thermal efficiency is 49% and the max. electrical efficiency is 63% (ETRI, 2014). The ETRI report does not give (max.) heat efficiency when (max.) electrical efficiency is given and vice versa.
</t>
    </r>
  </si>
  <si>
    <t>MATERIAL FLOWS (OPTIONAL)</t>
  </si>
  <si>
    <t>Material flows</t>
  </si>
  <si>
    <t>Material</t>
  </si>
  <si>
    <t>Specify here</t>
  </si>
  <si>
    <t>Material flows explanation</t>
  </si>
  <si>
    <t>Explain here</t>
  </si>
  <si>
    <t>EMISSIONS (Non-fuel/energy-related emissions or emissions reductions (e.g. CCS)</t>
  </si>
  <si>
    <t>Substance</t>
  </si>
  <si>
    <t>Emissions explanation</t>
  </si>
  <si>
    <t>Most of the NOx emissions are prevented due to the flue gas cleaner.</t>
  </si>
  <si>
    <t>OTHER</t>
  </si>
  <si>
    <t>Specify below the other relevant parameters for the specific technology</t>
  </si>
  <si>
    <t>Loss of electricity production per unit of heat supplied</t>
  </si>
  <si>
    <t>GJe/GJth</t>
  </si>
  <si>
    <t>Water consumption</t>
  </si>
  <si>
    <t>liters/kWh</t>
  </si>
  <si>
    <t>Add here</t>
  </si>
  <si>
    <t>• Downside of utilizing heat for district heating is that the electrical efficiency of the CHP plant is lowered (loss of electricity production). For each GJth of drain heat supplied to a district heating network there is 0,18 GJe loss of electricity production (ECN, 2011). The higher the temperature of the heat, the higher the losses. ECN (2011) indicates a loss of 0,18 GJe/GJth for drain heat at 120 ᵒC and a loss of 0,09 GJe/GJth at 80 ᵒC (ECN, 2011).
• According to ETRI the water withdrawal is equal to 0,01 liters per kWhe and water consumption (i.e. water which is not returned to the water system) is 0,01 liters per kWhe (ETRI, 2014).</t>
  </si>
  <si>
    <t>Ecofys (2014). Warmteladder. Available at: https://www.ecofys.com/files/files/ecofys-2014-warmteladder.pdf</t>
  </si>
  <si>
    <t>IEA (2015). Projected Costs of Generating Electricity 2015 Edition</t>
  </si>
  <si>
    <t xml:space="preserve">ETRI (2014). Carlsson J, Energy Technology Reference Indicator projections for 2010-2050, 2014 Edition, EUR 26950 EN, Publications Office of the European Union, Luxembourg, 2014, ISBN 978-92-79-44403-6, doi: 10.2790/057687, JRC92496
https://setis.ec.europa.eu/related-jrc-activities/jrc-setis-reports/etri-2014 </t>
  </si>
  <si>
    <t>IEA ETSAP (2010). Combined Heat and Power -  Technology Factsheet</t>
  </si>
  <si>
    <t>Gasterra (2008). Warmte en Kracht: WarmteKrachtKoppeling: een overzicht en leidraad</t>
  </si>
  <si>
    <t>PBL (2017). Functioneel ontwerp VESTA 3.0.</t>
  </si>
  <si>
    <t>ECN (2011) Restwarmtebenutting, potentielen, besparing, alternatieven</t>
  </si>
  <si>
    <t xml:space="preserve">ECN (2010). Kolencentrales Eemshaven Dwingende redenen openbaar belang Antwoorden op vragen van het Ministerie van EL&amp;I. 
</t>
  </si>
  <si>
    <t>ECN (2017a). Monitoring Warmte 2015</t>
  </si>
  <si>
    <t xml:space="preserve">ECN (2017b). Nationale Energieverkenning 2017
</t>
  </si>
  <si>
    <t>Others</t>
  </si>
  <si>
    <t xml:space="preserve">ECN (2019). Monitoring Warmte 2017
</t>
  </si>
  <si>
    <t>Parameter</t>
  </si>
  <si>
    <t>Old</t>
  </si>
  <si>
    <t>New</t>
  </si>
  <si>
    <t>Date</t>
  </si>
  <si>
    <t>Comment</t>
  </si>
  <si>
    <t>Used the level of precision indicated in the comments</t>
  </si>
  <si>
    <t>Used the level of precision that was displayed</t>
  </si>
  <si>
    <t>Fixed operational costs</t>
  </si>
  <si>
    <t>Variable costs</t>
  </si>
  <si>
    <t>Electricity input</t>
  </si>
  <si>
    <t>Used the level of precision that was displayed (was computed, which resulted in a -0.9999999999999999 read)</t>
  </si>
  <si>
    <t>Natural gas output</t>
  </si>
  <si>
    <t>Used the level of precision that was displayed/replaced computation with hard number</t>
  </si>
  <si>
    <t>Heat output</t>
  </si>
  <si>
    <t>Functional unit</t>
  </si>
  <si>
    <t>Mwe</t>
  </si>
  <si>
    <t>MW</t>
  </si>
  <si>
    <t>Used MW instead od MWe (as indicated thorugh comments)</t>
  </si>
  <si>
    <t>TECHNOLOGY FACTSHEET</t>
  </si>
  <si>
    <t>GAS-FIRED CHP PLANT - ELECTRICITY PRODUCTION AND DISTRICT HEATING</t>
  </si>
  <si>
    <t>Author</t>
  </si>
  <si>
    <t>Robin Niessink</t>
  </si>
  <si>
    <t>Value and Range</t>
  </si>
  <si>
    <t>-</t>
  </si>
  <si>
    <t>Current</t>
  </si>
  <si>
    <t>Capacity utlization factor</t>
  </si>
  <si>
    <t>Euro per Functional Unit</t>
  </si>
  <si>
    <t xml:space="preserve">Fixed operational costs per year               (excl. fuel costs) </t>
  </si>
  <si>
    <t>Variable costs per year</t>
  </si>
  <si>
    <t>Main output:</t>
  </si>
  <si>
    <t xml:space="preserve"> </t>
  </si>
  <si>
    <t>Sectors:</t>
  </si>
  <si>
    <t>Type of Technology:</t>
  </si>
  <si>
    <t>Functional Units Capacity:</t>
  </si>
  <si>
    <t>Functional Units Activity:</t>
  </si>
  <si>
    <t xml:space="preserve">Energy carriers: </t>
  </si>
  <si>
    <t>Energy Carriers Units:</t>
  </si>
  <si>
    <t>Material flows:</t>
  </si>
  <si>
    <t>Emissions:</t>
  </si>
  <si>
    <t>Emissions Units:</t>
  </si>
  <si>
    <t>Please select main output here</t>
  </si>
  <si>
    <t>Agriculture: Horticulture</t>
  </si>
  <si>
    <t>Biomass</t>
  </si>
  <si>
    <t>Bln vehicle - km/year</t>
  </si>
  <si>
    <t>Ambient heat</t>
  </si>
  <si>
    <t>CH4</t>
  </si>
  <si>
    <t>Non-ETS</t>
  </si>
  <si>
    <t>Agriculture: Other</t>
  </si>
  <si>
    <t>CCS</t>
  </si>
  <si>
    <t>PJ/year</t>
  </si>
  <si>
    <t>Biobenzine</t>
  </si>
  <si>
    <t>Add here -&gt;</t>
  </si>
  <si>
    <t>CO2</t>
  </si>
  <si>
    <t>Electricity generation</t>
  </si>
  <si>
    <t>Emission reduction</t>
  </si>
  <si>
    <t>kton/year</t>
  </si>
  <si>
    <t>Biodiesel</t>
  </si>
  <si>
    <t>F-gassen</t>
  </si>
  <si>
    <t>Mton CO2-eq</t>
  </si>
  <si>
    <t>Gas supply</t>
  </si>
  <si>
    <t>Energy saving</t>
  </si>
  <si>
    <t>Mton/year</t>
  </si>
  <si>
    <t>Biofuels</t>
  </si>
  <si>
    <t>N2O</t>
  </si>
  <si>
    <t>Households</t>
  </si>
  <si>
    <t>Renewable</t>
  </si>
  <si>
    <t>Mton ethene/year</t>
  </si>
  <si>
    <t>Biofuels FT</t>
  </si>
  <si>
    <t>Fijn stof PM10</t>
  </si>
  <si>
    <t>No</t>
  </si>
  <si>
    <t>Hydrogen</t>
  </si>
  <si>
    <t>Mton NH3/year</t>
  </si>
  <si>
    <t>Biogas</t>
  </si>
  <si>
    <t>Fijn stof PM2,5</t>
  </si>
  <si>
    <t>Industry: Anorganic chemics</t>
  </si>
  <si>
    <t>Network</t>
  </si>
  <si>
    <t>Mton steel/year</t>
  </si>
  <si>
    <t>Bio-LPG</t>
  </si>
  <si>
    <t>SO2</t>
  </si>
  <si>
    <t>Please select the region</t>
  </si>
  <si>
    <t>Industry: Chemics</t>
  </si>
  <si>
    <t>Storage</t>
  </si>
  <si>
    <t>PJth district heating/year</t>
  </si>
  <si>
    <t>Biomass (coferment)</t>
  </si>
  <si>
    <t>NH3</t>
  </si>
  <si>
    <t>Industry: Construction</t>
  </si>
  <si>
    <t xml:space="preserve">Electrolysis </t>
  </si>
  <si>
    <t>Biomass (GFT &amp; VGI)</t>
  </si>
  <si>
    <t>NMVOS</t>
  </si>
  <si>
    <t>EU</t>
  </si>
  <si>
    <t>Industry: Fertiliser</t>
  </si>
  <si>
    <t>Biomass (high quality)</t>
  </si>
  <si>
    <t>NOx</t>
  </si>
  <si>
    <t>Global</t>
  </si>
  <si>
    <t>Industry: Generic</t>
  </si>
  <si>
    <t>Biomass (manure)</t>
  </si>
  <si>
    <t>Industry: Iron and steel</t>
  </si>
  <si>
    <t>Biomass (starch)</t>
  </si>
  <si>
    <t>Industry: Non ETS</t>
  </si>
  <si>
    <t>Biomass (sugars)</t>
  </si>
  <si>
    <t>Industry: Petrochemics</t>
  </si>
  <si>
    <t>Biomass (waste biogenic)</t>
  </si>
  <si>
    <t>Mobile machinery</t>
  </si>
  <si>
    <t>Biomass (wet streams)</t>
  </si>
  <si>
    <t>Refineries</t>
  </si>
  <si>
    <t>Biomass (wood abroad)</t>
  </si>
  <si>
    <t>Trade, services and utilities</t>
  </si>
  <si>
    <t>Biomass (wood interior)</t>
  </si>
  <si>
    <t>Transport</t>
  </si>
  <si>
    <t>Biomass (wood)</t>
  </si>
  <si>
    <t>Bio-waste gases</t>
  </si>
  <si>
    <t>Blast furnace gas</t>
  </si>
  <si>
    <t>CCF gas</t>
  </si>
  <si>
    <t>Chemical residual gas</t>
  </si>
  <si>
    <t>Coal</t>
  </si>
  <si>
    <t>Coke</t>
  </si>
  <si>
    <t>Coke oven gas</t>
  </si>
  <si>
    <t>Coking coal</t>
  </si>
  <si>
    <t>Diesel</t>
  </si>
  <si>
    <t>Energy content manure</t>
  </si>
  <si>
    <t>Fermentation gas</t>
  </si>
  <si>
    <t>Gasoline</t>
  </si>
  <si>
    <t>Geothermal heat</t>
  </si>
  <si>
    <t>Heavy fuel oil</t>
  </si>
  <si>
    <t>Import electricity</t>
  </si>
  <si>
    <t>Injection coal</t>
  </si>
  <si>
    <t>LPG</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</si>
  <si>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</si>
  <si>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</si>
  <si>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</si>
  <si>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</si>
  <si>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</si>
  <si>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</si>
  <si>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</si>
  <si>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</si>
  <si>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</si>
  <si>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</si>
  <si>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</si>
  <si>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</si>
  <si>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</si>
  <si>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</si>
  <si>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</si>
  <si>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</si>
  <si>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</si>
  <si>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</si>
  <si>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</si>
  <si>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</si>
  <si>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</si>
  <si>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</si>
  <si>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Other gases</t>
  </si>
  <si>
    <t>Propane</t>
  </si>
  <si>
    <t>SNG</t>
  </si>
  <si>
    <t>Steam</t>
  </si>
  <si>
    <t>Heat supply district heating (source: ECN 2017, Monitoring Warmte 2015)</t>
  </si>
  <si>
    <t>25% losses on average in heat network</t>
  </si>
  <si>
    <t>district heating</t>
  </si>
  <si>
    <t>Supply [PJ/jaar]</t>
  </si>
  <si>
    <t>Mainly gas-fired source AND built environment?</t>
  </si>
  <si>
    <t>PJ heat production</t>
  </si>
  <si>
    <t>Capacity factor</t>
  </si>
  <si>
    <t>Hours</t>
  </si>
  <si>
    <t>MWh,th</t>
  </si>
  <si>
    <t>MW,th</t>
  </si>
  <si>
    <t>Utrecht</t>
  </si>
  <si>
    <t>yes</t>
  </si>
  <si>
    <t>bron: Routekaart verduurzaming Stadswarmte Utrecht/Nieuwegein</t>
  </si>
  <si>
    <t>Rotterdam</t>
  </si>
  <si>
    <t>no</t>
  </si>
  <si>
    <t>B3-Hoek</t>
  </si>
  <si>
    <t>no, horticulture</t>
  </si>
  <si>
    <t>Den Haag</t>
  </si>
  <si>
    <t>Ypenburg</t>
  </si>
  <si>
    <t>Amsterdam Zuid- en Oost incl. Amstelveen</t>
  </si>
  <si>
    <t>Amsterdam Noord- en West</t>
  </si>
  <si>
    <t>Almere</t>
  </si>
  <si>
    <t>Lelystad</t>
  </si>
  <si>
    <t>Leiden</t>
  </si>
  <si>
    <t>Arnhem, Duiven en Westervoort</t>
  </si>
  <si>
    <t>Amernet</t>
  </si>
  <si>
    <t>Enschede</t>
  </si>
  <si>
    <t>Helmond</t>
  </si>
  <si>
    <t>Eindhoven</t>
  </si>
  <si>
    <t>Alkmaar, Heerhugowaard en Langedijk</t>
  </si>
  <si>
    <t>Purmerend</t>
  </si>
  <si>
    <t>Average</t>
  </si>
  <si>
    <t>https://setis.ec.europa.eu/related-jrc-activities/jrc-setis-reports/cogeneration-plant-chp-combined-heat-and-power</t>
  </si>
  <si>
    <t>http://i.despiteborders.com/gas-power-plants-as-a-part-of-the-energy-mix-of-the-slovak-republic/</t>
  </si>
  <si>
    <t>http://i.despiteborders.com/clanky/data/upimages/en_v_texte2-velka.jpg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</si>
</sst>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 #,##0_ ;_ * \-#,##0_ ;_ * &quot;-&quot;??_ ;_ @_ "/>
    <numFmt numFmtId="165" formatCode="_ * #,##0.000_ ;_ * \-#,##0.000_ ;_ * &quot;-&quot;??_ ;_ @_ "/>
    <numFmt numFmtId="166" formatCode="_ * #,##0.0_ ;_ * \-#,##0.0_ ;_ * &quot;-&quot;??_ ;_ @_ "/>
    <numFmt numFmtId="167" formatCode="0.0"/>
    <numFmt numFmtId="168" formatCode="0.000"/>
    <numFmt numFmtId="169" formatCode="0.0000000000000%"/>
  </numFmts>
  <fonts count="53">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sz val="9"/>
      <color indexed="81"/>
      <name val="Tahoma"/>
      <family val="2"/>
    </font>
    <font>
      <b/>
      <sz val="9"/>
      <color indexed="81"/>
      <name val="Tahoma"/>
      <family val="2"/>
    </font>
    <font>
      <sz val="11"/>
      <color rgb="FF006100"/>
      <name val="Calibri"/>
      <family val="2"/>
      <scheme val="minor"/>
    </font>
    <font>
      <sz val="11"/>
      <color rgb="FF000000"/>
      <name val="Calibri"/>
      <family val="2"/>
      <scheme val="minor"/>
    </font>
    <font>
      <sz val="11"/>
      <color rgb="FFFF0000"/>
      <name val="Calibri"/>
      <family val="2"/>
    </font>
    <font>
      <sz val="12"/>
      <color rgb="FF313131"/>
      <name val="Verdana"/>
      <family val="2"/>
    </font>
    <font>
      <b/>
      <sz val="12"/>
      <color rgb="FF464F58"/>
      <name val="Arial"/>
      <family val="2"/>
    </font>
    <font>
      <b/>
      <sz val="11"/>
      <name val="Calibri"/>
      <family val="2"/>
    </font>
    <font>
      <b/>
      <sz val="16"/>
      <color theme="0"/>
      <name val="Calibri"/>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rgb="FFC6EFCE"/>
      </patternFill>
    </fill>
    <fill>
      <patternFill patternType="solid">
        <fgColor theme="4" tint="-0.249977111117893"/>
        <bgColor indexed="64"/>
      </patternFill>
    </fill>
  </fills>
  <borders count="62">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top style="medium">
        <color auto="1"/>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right/>
      <top style="thin">
        <color auto="1"/>
      </top>
      <bottom style="medium">
        <color indexed="64"/>
      </bottom>
      <diagonal/>
    </border>
  </borders>
  <cellStyleXfs count="5">
    <xf numFmtId="0" fontId="0" fillId="0" borderId="0"/>
    <xf numFmtId="0" fontId="22"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46" fillId="11" borderId="0" applyNumberFormat="0" applyBorder="0" applyAlignment="0" applyProtection="0"/>
  </cellStyleXfs>
  <cellXfs count="521">
    <xf numFmtId="0" fontId="0" fillId="0" borderId="0" xfId="0"/>
    <xf numFmtId="0" fontId="0" fillId="6" borderId="0" xfId="0" applyFill="1"/>
    <xf numFmtId="0" fontId="8" fillId="6" borderId="0" xfId="0" applyFont="1" applyFill="1"/>
    <xf numFmtId="0" fontId="9" fillId="6" borderId="0" xfId="0" applyFont="1" applyFill="1"/>
    <xf numFmtId="0" fontId="10" fillId="6" borderId="0" xfId="0" applyFont="1" applyFill="1"/>
    <xf numFmtId="0" fontId="0" fillId="6" borderId="0" xfId="0" applyFill="1" applyAlignment="1">
      <alignment horizontal="right"/>
    </xf>
    <xf numFmtId="0" fontId="5" fillId="6" borderId="0" xfId="0" applyFont="1" applyFill="1" applyAlignment="1">
      <alignment vertical="center" wrapText="1"/>
    </xf>
    <xf numFmtId="0" fontId="6" fillId="6" borderId="0" xfId="0" applyFont="1" applyFill="1" applyAlignment="1">
      <alignment vertical="center" wrapText="1"/>
    </xf>
    <xf numFmtId="0" fontId="4" fillId="6" borderId="18" xfId="0" applyFont="1" applyFill="1" applyBorder="1" applyAlignment="1">
      <alignment vertical="center" wrapText="1"/>
    </xf>
    <xf numFmtId="0" fontId="4" fillId="6" borderId="32" xfId="0" applyFont="1" applyFill="1" applyBorder="1" applyAlignment="1">
      <alignment vertical="center" wrapText="1"/>
    </xf>
    <xf numFmtId="0" fontId="4" fillId="6" borderId="21" xfId="0" applyFont="1" applyFill="1" applyBorder="1" applyAlignment="1">
      <alignment vertical="center" wrapText="1"/>
    </xf>
    <xf numFmtId="0" fontId="14" fillId="6" borderId="16" xfId="0" applyFont="1" applyFill="1" applyBorder="1" applyAlignment="1">
      <alignment horizontal="right"/>
    </xf>
    <xf numFmtId="0" fontId="14" fillId="6" borderId="46" xfId="0" applyFont="1" applyFill="1" applyBorder="1" applyAlignment="1">
      <alignment horizontal="right"/>
    </xf>
    <xf numFmtId="0" fontId="14" fillId="6" borderId="19" xfId="0" applyFont="1" applyFill="1" applyBorder="1" applyAlignment="1">
      <alignment horizontal="right"/>
    </xf>
    <xf numFmtId="0" fontId="14" fillId="6" borderId="22" xfId="0" applyFont="1" applyFill="1" applyBorder="1" applyAlignment="1">
      <alignment horizontal="right"/>
    </xf>
    <xf numFmtId="0" fontId="11" fillId="6" borderId="0" xfId="0" applyFont="1" applyFill="1"/>
    <xf numFmtId="0" fontId="15" fillId="6" borderId="0" xfId="0" applyFont="1" applyFill="1"/>
    <xf numFmtId="0" fontId="5" fillId="6" borderId="21" xfId="0" applyFont="1" applyFill="1" applyBorder="1" applyAlignment="1">
      <alignment vertical="top" wrapText="1"/>
    </xf>
    <xf numFmtId="0" fontId="5" fillId="6" borderId="18" xfId="0" applyFont="1" applyFill="1" applyBorder="1" applyAlignment="1">
      <alignment vertical="top" wrapText="1"/>
    </xf>
    <xf numFmtId="0" fontId="5" fillId="6" borderId="32" xfId="0" applyFont="1" applyFill="1" applyBorder="1" applyAlignment="1">
      <alignment vertical="top" wrapText="1"/>
    </xf>
    <xf numFmtId="0" fontId="5" fillId="6" borderId="46" xfId="0" applyFont="1" applyFill="1" applyBorder="1" applyAlignment="1">
      <alignment horizontal="right" vertical="top" wrapText="1"/>
    </xf>
    <xf numFmtId="0" fontId="17" fillId="6" borderId="22" xfId="0" applyFont="1" applyFill="1" applyBorder="1" applyAlignment="1">
      <alignment vertical="top" wrapText="1"/>
    </xf>
    <xf numFmtId="0" fontId="14" fillId="6" borderId="46" xfId="0" applyFont="1" applyFill="1" applyBorder="1" applyAlignment="1">
      <alignment horizontal="right" vertical="top"/>
    </xf>
    <xf numFmtId="0" fontId="5" fillId="6" borderId="18" xfId="0" applyFont="1" applyFill="1" applyBorder="1" applyAlignment="1">
      <alignment vertical="center" wrapText="1"/>
    </xf>
    <xf numFmtId="0" fontId="5" fillId="6" borderId="32" xfId="0" applyFont="1" applyFill="1" applyBorder="1" applyAlignment="1">
      <alignment vertical="center" wrapText="1"/>
    </xf>
    <xf numFmtId="0" fontId="4" fillId="6" borderId="32" xfId="0" applyFont="1" applyFill="1" applyBorder="1" applyAlignment="1">
      <alignment vertical="top" wrapText="1"/>
    </xf>
    <xf numFmtId="0" fontId="14" fillId="6" borderId="0" xfId="0" applyFont="1" applyFill="1" applyAlignment="1">
      <alignment horizontal="right"/>
    </xf>
    <xf numFmtId="0" fontId="14" fillId="6" borderId="17" xfId="0" applyFont="1" applyFill="1" applyBorder="1" applyAlignment="1">
      <alignment horizontal="right"/>
    </xf>
    <xf numFmtId="0" fontId="0" fillId="6" borderId="32" xfId="0" applyFill="1" applyBorder="1"/>
    <xf numFmtId="0" fontId="0" fillId="6" borderId="20" xfId="0" applyFill="1" applyBorder="1"/>
    <xf numFmtId="0" fontId="0" fillId="6" borderId="21" xfId="0" applyFill="1" applyBorder="1"/>
    <xf numFmtId="0" fontId="11" fillId="6" borderId="24" xfId="0" applyFont="1" applyFill="1" applyBorder="1"/>
    <xf numFmtId="0" fontId="11" fillId="6" borderId="45" xfId="0" applyFont="1" applyFill="1" applyBorder="1"/>
    <xf numFmtId="0" fontId="11" fillId="6" borderId="25" xfId="0" applyFont="1" applyFill="1" applyBorder="1"/>
    <xf numFmtId="0" fontId="14" fillId="6" borderId="22" xfId="0" applyFont="1" applyFill="1" applyBorder="1" applyAlignment="1">
      <alignment horizontal="right" vertical="top"/>
    </xf>
    <xf numFmtId="0" fontId="20" fillId="6" borderId="0" xfId="0" applyFont="1" applyFill="1"/>
    <xf numFmtId="0" fontId="14" fillId="6" borderId="16" xfId="0" applyFont="1" applyFill="1" applyBorder="1" applyAlignment="1">
      <alignment horizontal="right" vertical="top"/>
    </xf>
    <xf numFmtId="0" fontId="4" fillId="6" borderId="18" xfId="0" applyFont="1" applyFill="1" applyBorder="1" applyAlignment="1">
      <alignment vertical="top" wrapText="1"/>
    </xf>
    <xf numFmtId="0" fontId="19" fillId="6" borderId="0" xfId="0" applyFont="1" applyFill="1"/>
    <xf numFmtId="0" fontId="4" fillId="6" borderId="0" xfId="0" applyFont="1" applyFill="1" applyAlignment="1">
      <alignment vertical="center" wrapText="1"/>
    </xf>
    <xf numFmtId="0" fontId="4" fillId="6" borderId="17" xfId="0" applyFont="1" applyFill="1" applyBorder="1" applyAlignment="1">
      <alignment vertical="center" wrapText="1"/>
    </xf>
    <xf numFmtId="0" fontId="5" fillId="6" borderId="17" xfId="0" applyFont="1" applyFill="1" applyBorder="1" applyAlignment="1">
      <alignment vertical="top" wrapText="1"/>
    </xf>
    <xf numFmtId="0" fontId="5" fillId="6" borderId="0" xfId="0" applyFont="1" applyFill="1" applyAlignment="1">
      <alignment vertical="top" wrapText="1"/>
    </xf>
    <xf numFmtId="0" fontId="16" fillId="6" borderId="0" xfId="0" applyFont="1" applyFill="1" applyAlignment="1">
      <alignment vertical="top" wrapText="1"/>
    </xf>
    <xf numFmtId="0" fontId="4" fillId="6" borderId="17" xfId="0" applyFont="1" applyFill="1" applyBorder="1" applyAlignment="1">
      <alignment vertical="top" wrapText="1"/>
    </xf>
    <xf numFmtId="0" fontId="0" fillId="6" borderId="46" xfId="0" applyFill="1" applyBorder="1"/>
    <xf numFmtId="0" fontId="0" fillId="6" borderId="19" xfId="0" applyFill="1" applyBorder="1"/>
    <xf numFmtId="0" fontId="14" fillId="6" borderId="19" xfId="0" applyFont="1" applyFill="1" applyBorder="1" applyAlignment="1">
      <alignment horizontal="right" vertical="top"/>
    </xf>
    <xf numFmtId="0" fontId="4" fillId="6" borderId="23" xfId="0" applyFont="1" applyFill="1" applyBorder="1" applyAlignment="1">
      <alignment vertical="center" wrapText="1"/>
    </xf>
    <xf numFmtId="0" fontId="5" fillId="6" borderId="23" xfId="0" applyFont="1" applyFill="1" applyBorder="1" applyAlignment="1">
      <alignment vertical="top" wrapText="1"/>
    </xf>
    <xf numFmtId="0" fontId="17" fillId="6" borderId="22" xfId="0" applyFont="1" applyFill="1" applyBorder="1" applyAlignment="1">
      <alignment vertical="center" wrapText="1"/>
    </xf>
    <xf numFmtId="0" fontId="18" fillId="6" borderId="21" xfId="0" applyFont="1" applyFill="1" applyBorder="1" applyAlignment="1">
      <alignment vertical="center" wrapText="1"/>
    </xf>
    <xf numFmtId="0" fontId="14" fillId="6" borderId="17" xfId="0" applyFont="1" applyFill="1" applyBorder="1" applyAlignment="1">
      <alignment horizontal="right" vertical="top"/>
    </xf>
    <xf numFmtId="0" fontId="4" fillId="6" borderId="21" xfId="0" applyFont="1" applyFill="1" applyBorder="1" applyAlignment="1">
      <alignment vertical="top" wrapText="1"/>
    </xf>
    <xf numFmtId="0" fontId="13" fillId="7" borderId="15" xfId="0" applyFont="1" applyFill="1" applyBorder="1"/>
    <xf numFmtId="0" fontId="6" fillId="6" borderId="20" xfId="0" applyFont="1" applyFill="1" applyBorder="1" applyAlignment="1">
      <alignment vertical="center" wrapText="1"/>
    </xf>
    <xf numFmtId="0" fontId="0" fillId="6" borderId="18" xfId="0" applyFill="1" applyBorder="1" applyAlignment="1">
      <alignment horizontal="left" vertical="center"/>
    </xf>
    <xf numFmtId="0" fontId="0" fillId="6" borderId="32" xfId="0" applyFill="1" applyBorder="1" applyAlignment="1">
      <alignment horizontal="left" vertical="center"/>
    </xf>
    <xf numFmtId="0" fontId="0" fillId="6" borderId="21" xfId="0" applyFill="1" applyBorder="1" applyAlignment="1">
      <alignment horizontal="left" vertical="center"/>
    </xf>
    <xf numFmtId="0" fontId="11" fillId="6" borderId="24" xfId="0" applyFont="1" applyFill="1" applyBorder="1" applyAlignment="1">
      <alignment vertical="top"/>
    </xf>
    <xf numFmtId="0" fontId="8" fillId="6" borderId="16" xfId="0" applyFont="1" applyFill="1" applyBorder="1"/>
    <xf numFmtId="0" fontId="0" fillId="6" borderId="18" xfId="0" applyFill="1" applyBorder="1" applyAlignment="1">
      <alignment vertical="center" wrapText="1"/>
    </xf>
    <xf numFmtId="0" fontId="8" fillId="6" borderId="46" xfId="0" applyFont="1" applyFill="1" applyBorder="1"/>
    <xf numFmtId="0" fontId="22" fillId="6" borderId="32" xfId="1" applyFill="1" applyBorder="1" applyAlignment="1">
      <alignment vertical="center"/>
    </xf>
    <xf numFmtId="0" fontId="0" fillId="6" borderId="32" xfId="0" applyFill="1" applyBorder="1" applyAlignment="1">
      <alignment vertical="center" wrapText="1"/>
    </xf>
    <xf numFmtId="0" fontId="0" fillId="6" borderId="32" xfId="0" applyFill="1" applyBorder="1" applyAlignment="1">
      <alignment horizontal="left" vertical="center" wrapText="1"/>
    </xf>
    <xf numFmtId="0" fontId="25" fillId="6" borderId="46" xfId="0" applyFont="1" applyFill="1" applyBorder="1" applyAlignment="1">
      <alignment vertical="center" wrapText="1"/>
    </xf>
    <xf numFmtId="0" fontId="25" fillId="6" borderId="45" xfId="0" applyFont="1" applyFill="1" applyBorder="1" applyAlignment="1">
      <alignment horizontal="left" vertical="center" wrapText="1"/>
    </xf>
    <xf numFmtId="0" fontId="27" fillId="6" borderId="45" xfId="0" applyFont="1" applyFill="1" applyBorder="1" applyAlignment="1">
      <alignment horizontal="left"/>
    </xf>
    <xf numFmtId="0" fontId="15" fillId="0" borderId="19" xfId="0" applyFont="1" applyBorder="1"/>
    <xf numFmtId="0" fontId="20" fillId="6" borderId="32" xfId="0" applyFont="1" applyFill="1" applyBorder="1" applyAlignment="1">
      <alignment vertical="center" wrapText="1"/>
    </xf>
    <xf numFmtId="0" fontId="3" fillId="0" borderId="0" xfId="0" applyFont="1"/>
    <xf numFmtId="0" fontId="33" fillId="6" borderId="0" xfId="0" applyFont="1" applyFill="1" applyAlignment="1" applyProtection="1">
      <alignment vertical="top" wrapText="1"/>
      <protection locked="0"/>
    </xf>
    <xf numFmtId="0" fontId="32" fillId="6" borderId="0" xfId="0" applyFont="1" applyFill="1" applyAlignment="1">
      <alignment vertical="center" wrapText="1"/>
    </xf>
    <xf numFmtId="0" fontId="31" fillId="6" borderId="0" xfId="0" applyFont="1" applyFill="1" applyAlignment="1">
      <alignment vertical="center" wrapText="1"/>
    </xf>
    <xf numFmtId="43" fontId="12" fillId="6" borderId="0" xfId="2" applyFont="1" applyFill="1" applyBorder="1" applyAlignment="1">
      <alignment vertical="center" wrapText="1"/>
    </xf>
    <xf numFmtId="0" fontId="12" fillId="6" borderId="0" xfId="0" applyFont="1" applyFill="1" applyAlignment="1">
      <alignment vertical="center" wrapText="1"/>
    </xf>
    <xf numFmtId="0" fontId="33" fillId="6" borderId="0" xfId="0" applyFont="1" applyFill="1" applyAlignment="1" applyProtection="1">
      <alignment vertical="center" wrapText="1"/>
      <protection locked="0"/>
    </xf>
    <xf numFmtId="0" fontId="20" fillId="0" borderId="0" xfId="0" applyFont="1"/>
    <xf numFmtId="0" fontId="34" fillId="0" borderId="15" xfId="0" applyFont="1" applyBorder="1" applyAlignment="1">
      <alignment horizontal="center" vertical="top" wrapText="1"/>
    </xf>
    <xf numFmtId="0" fontId="0" fillId="6" borderId="23" xfId="0" applyFill="1" applyBorder="1" applyAlignment="1">
      <alignment vertical="top"/>
    </xf>
    <xf numFmtId="0" fontId="4" fillId="6" borderId="26" xfId="0" applyFont="1" applyFill="1" applyBorder="1" applyAlignment="1">
      <alignment vertical="top" wrapText="1"/>
    </xf>
    <xf numFmtId="0" fontId="19" fillId="6" borderId="0" xfId="0" applyFont="1" applyFill="1" applyAlignment="1">
      <alignment vertical="top" wrapText="1"/>
    </xf>
    <xf numFmtId="0" fontId="0" fillId="6" borderId="22" xfId="0" applyFill="1" applyBorder="1" applyAlignment="1">
      <alignment vertical="top"/>
    </xf>
    <xf numFmtId="0" fontId="4" fillId="6" borderId="23" xfId="0" applyFont="1" applyFill="1" applyBorder="1" applyAlignment="1">
      <alignment vertical="top" wrapText="1"/>
    </xf>
    <xf numFmtId="0" fontId="0" fillId="6" borderId="21" xfId="0" applyFill="1" applyBorder="1" applyAlignment="1">
      <alignment vertical="top"/>
    </xf>
    <xf numFmtId="0" fontId="33" fillId="3" borderId="10" xfId="0" applyFont="1" applyFill="1" applyBorder="1" applyAlignment="1">
      <alignment vertical="center" wrapText="1"/>
    </xf>
    <xf numFmtId="0" fontId="33" fillId="3" borderId="13" xfId="0" applyFont="1" applyFill="1" applyBorder="1" applyAlignment="1">
      <alignment vertical="center" wrapText="1"/>
    </xf>
    <xf numFmtId="0" fontId="37" fillId="6" borderId="32" xfId="0" applyFont="1" applyFill="1" applyBorder="1" applyAlignment="1">
      <alignment vertical="center" wrapText="1"/>
    </xf>
    <xf numFmtId="43" fontId="36" fillId="9" borderId="15" xfId="2" applyFont="1" applyFill="1" applyBorder="1"/>
    <xf numFmtId="43" fontId="23" fillId="6" borderId="15" xfId="2" applyFont="1" applyFill="1" applyBorder="1"/>
    <xf numFmtId="43" fontId="23" fillId="9" borderId="15" xfId="2" applyFont="1" applyFill="1" applyBorder="1"/>
    <xf numFmtId="0" fontId="0" fillId="6" borderId="23" xfId="0" applyFill="1" applyBorder="1" applyAlignment="1">
      <alignment vertical="top" wrapText="1"/>
    </xf>
    <xf numFmtId="0" fontId="6" fillId="6" borderId="15" xfId="0" applyFont="1" applyFill="1" applyBorder="1" applyAlignment="1">
      <alignment vertical="top" wrapText="1"/>
    </xf>
    <xf numFmtId="0" fontId="4" fillId="6" borderId="0" xfId="0" applyFont="1" applyFill="1" applyAlignment="1">
      <alignment vertical="top"/>
    </xf>
    <xf numFmtId="0" fontId="0" fillId="6" borderId="0" xfId="0" applyFill="1" applyAlignment="1">
      <alignment vertical="top"/>
    </xf>
    <xf numFmtId="0" fontId="0" fillId="6" borderId="32" xfId="0" applyFill="1" applyBorder="1" applyAlignment="1">
      <alignment vertical="top" wrapText="1"/>
    </xf>
    <xf numFmtId="0" fontId="35" fillId="6" borderId="0" xfId="0" applyFont="1" applyFill="1"/>
    <xf numFmtId="0" fontId="7" fillId="6" borderId="0" xfId="0" applyFont="1" applyFill="1"/>
    <xf numFmtId="0" fontId="21" fillId="6" borderId="0" xfId="0" applyFont="1" applyFill="1"/>
    <xf numFmtId="43" fontId="23" fillId="0" borderId="15" xfId="2" applyFont="1" applyBorder="1"/>
    <xf numFmtId="0" fontId="36" fillId="0" borderId="15" xfId="0" applyFont="1" applyBorder="1" applyAlignment="1">
      <alignment horizontal="center"/>
    </xf>
    <xf numFmtId="0" fontId="36" fillId="0" borderId="23" xfId="0" applyFont="1" applyBorder="1" applyAlignment="1">
      <alignment horizontal="center"/>
    </xf>
    <xf numFmtId="0" fontId="39" fillId="6" borderId="0" xfId="0" applyFont="1" applyFill="1" applyAlignment="1">
      <alignment vertical="center"/>
    </xf>
    <xf numFmtId="43" fontId="2" fillId="0" borderId="40" xfId="2" applyFont="1" applyBorder="1" applyAlignment="1">
      <alignment horizontal="center" vertical="center"/>
    </xf>
    <xf numFmtId="0" fontId="40" fillId="0" borderId="0" xfId="0" applyFont="1"/>
    <xf numFmtId="0" fontId="40" fillId="0" borderId="0" xfId="0" applyFont="1" applyAlignment="1">
      <alignment horizontal="left" vertical="top" wrapText="1"/>
    </xf>
    <xf numFmtId="0" fontId="0" fillId="0" borderId="0" xfId="0" applyAlignment="1">
      <alignment horizontal="left" vertical="top" wrapText="1"/>
    </xf>
    <xf numFmtId="0" fontId="41" fillId="6" borderId="45" xfId="0" applyFont="1" applyFill="1" applyBorder="1"/>
    <xf numFmtId="0" fontId="42" fillId="6" borderId="0" xfId="0" applyFont="1" applyFill="1"/>
    <xf numFmtId="0" fontId="19" fillId="6" borderId="32" xfId="0" applyFont="1" applyFill="1" applyBorder="1"/>
    <xf numFmtId="0" fontId="4" fillId="6" borderId="0" xfId="0" applyFont="1" applyFill="1" applyAlignment="1">
      <alignment vertical="top" wrapText="1"/>
    </xf>
    <xf numFmtId="0" fontId="33" fillId="2" borderId="4" xfId="0" applyFont="1" applyFill="1" applyBorder="1" applyAlignment="1">
      <alignment vertical="center" wrapText="1"/>
    </xf>
    <xf numFmtId="0" fontId="4" fillId="6" borderId="20" xfId="0" applyFont="1" applyFill="1" applyBorder="1" applyAlignment="1">
      <alignment vertical="top" wrapText="1"/>
    </xf>
    <xf numFmtId="0" fontId="0" fillId="6" borderId="16" xfId="0" applyFill="1" applyBorder="1"/>
    <xf numFmtId="0" fontId="0" fillId="6" borderId="18" xfId="0" applyFill="1" applyBorder="1"/>
    <xf numFmtId="0" fontId="17" fillId="6" borderId="16" xfId="0" applyFont="1" applyFill="1" applyBorder="1" applyAlignment="1">
      <alignment vertical="center" wrapText="1"/>
    </xf>
    <xf numFmtId="0" fontId="37" fillId="6" borderId="32" xfId="0" applyFont="1" applyFill="1" applyBorder="1" applyAlignment="1">
      <alignment vertical="top" wrapText="1"/>
    </xf>
    <xf numFmtId="0" fontId="37" fillId="6" borderId="21" xfId="0" applyFont="1" applyFill="1" applyBorder="1" applyAlignment="1">
      <alignment vertical="center" wrapText="1"/>
    </xf>
    <xf numFmtId="0" fontId="14" fillId="6" borderId="0" xfId="0" applyFont="1" applyFill="1" applyAlignment="1">
      <alignment horizontal="right" vertical="top"/>
    </xf>
    <xf numFmtId="164" fontId="23" fillId="9" borderId="15" xfId="2" applyNumberFormat="1" applyFont="1" applyFill="1" applyBorder="1"/>
    <xf numFmtId="43" fontId="23" fillId="9" borderId="15" xfId="2" applyFont="1" applyFill="1" applyBorder="1" applyAlignment="1">
      <alignment horizontal="right"/>
    </xf>
    <xf numFmtId="164" fontId="23" fillId="6" borderId="15" xfId="2" applyNumberFormat="1" applyFont="1" applyFill="1" applyBorder="1"/>
    <xf numFmtId="2" fontId="0" fillId="0" borderId="0" xfId="0" applyNumberFormat="1"/>
    <xf numFmtId="166" fontId="23" fillId="9" borderId="15" xfId="2" applyNumberFormat="1" applyFont="1" applyFill="1" applyBorder="1"/>
    <xf numFmtId="9" fontId="0" fillId="0" borderId="0" xfId="0" applyNumberFormat="1"/>
    <xf numFmtId="1" fontId="0" fillId="0" borderId="0" xfId="0" applyNumberFormat="1"/>
    <xf numFmtId="0" fontId="46" fillId="11" borderId="0" xfId="4"/>
    <xf numFmtId="0" fontId="2" fillId="6" borderId="0" xfId="0" applyFont="1" applyFill="1"/>
    <xf numFmtId="0" fontId="2" fillId="0" borderId="0" xfId="0" applyFont="1"/>
    <xf numFmtId="0" fontId="2" fillId="5" borderId="12" xfId="0" applyFont="1" applyFill="1" applyBorder="1" applyAlignment="1">
      <alignment horizontal="right" vertical="center"/>
    </xf>
    <xf numFmtId="0" fontId="2" fillId="5" borderId="0" xfId="0" applyFont="1" applyFill="1" applyAlignment="1">
      <alignment horizontal="right" vertical="center"/>
    </xf>
    <xf numFmtId="0" fontId="2" fillId="5" borderId="0" xfId="0" applyFont="1" applyFill="1" applyAlignment="1">
      <alignment horizontal="right"/>
    </xf>
    <xf numFmtId="43" fontId="2" fillId="0" borderId="15" xfId="2" applyFont="1" applyBorder="1" applyAlignment="1">
      <alignment horizontal="center" vertical="center"/>
    </xf>
    <xf numFmtId="43" fontId="2" fillId="0" borderId="29" xfId="2" applyFont="1" applyBorder="1" applyAlignment="1">
      <alignment horizontal="center" vertical="center"/>
    </xf>
    <xf numFmtId="43" fontId="2" fillId="0" borderId="30" xfId="2" applyFont="1" applyBorder="1" applyAlignment="1">
      <alignment horizontal="center" vertical="center"/>
    </xf>
    <xf numFmtId="43" fontId="2" fillId="0" borderId="31" xfId="2" applyFont="1" applyBorder="1" applyAlignment="1">
      <alignment horizontal="center" vertical="center"/>
    </xf>
    <xf numFmtId="43" fontId="2" fillId="0" borderId="23" xfId="2" applyFont="1" applyBorder="1" applyAlignment="1">
      <alignment horizontal="center" vertical="center"/>
    </xf>
    <xf numFmtId="43" fontId="2" fillId="0" borderId="49" xfId="2" applyFont="1" applyBorder="1" applyAlignment="1">
      <alignment horizontal="center" vertical="center"/>
    </xf>
    <xf numFmtId="0" fontId="0" fillId="0" borderId="0" xfId="0" applyAlignment="1">
      <alignment wrapText="1"/>
    </xf>
    <xf numFmtId="165" fontId="23" fillId="6" borderId="15" xfId="2" applyNumberFormat="1" applyFont="1" applyFill="1" applyBorder="1"/>
    <xf numFmtId="43" fontId="23" fillId="0" borderId="15" xfId="2" applyFont="1" applyBorder="1" applyAlignment="1">
      <alignment horizontal="left"/>
    </xf>
    <xf numFmtId="167" fontId="47" fillId="0" borderId="0" xfId="4" applyNumberFormat="1" applyFont="1" applyFill="1"/>
    <xf numFmtId="167" fontId="0" fillId="0" borderId="0" xfId="0" applyNumberFormat="1"/>
    <xf numFmtId="0" fontId="49" fillId="0" borderId="0" xfId="0" applyFont="1"/>
    <xf numFmtId="0" fontId="50" fillId="0" borderId="0" xfId="0" applyFont="1"/>
    <xf numFmtId="0" fontId="22" fillId="6" borderId="0" xfId="1" applyFill="1" applyBorder="1" applyAlignment="1" applyProtection="1">
      <alignment vertical="top" wrapText="1"/>
      <protection locked="0"/>
    </xf>
    <xf numFmtId="0" fontId="22" fillId="6" borderId="0" xfId="1" applyFill="1" applyBorder="1" applyAlignment="1" applyProtection="1">
      <alignment vertical="top"/>
      <protection locked="0"/>
    </xf>
    <xf numFmtId="167" fontId="23" fillId="9" borderId="15" xfId="3" applyNumberFormat="1" applyFont="1" applyFill="1" applyBorder="1"/>
    <xf numFmtId="0" fontId="22" fillId="0" borderId="0" xfId="1"/>
    <xf numFmtId="164" fontId="2" fillId="0" borderId="41" xfId="2" applyNumberFormat="1" applyFont="1" applyBorder="1" applyAlignment="1">
      <alignment horizontal="center" vertical="center"/>
    </xf>
    <xf numFmtId="164" fontId="2" fillId="0" borderId="30" xfId="2" applyNumberFormat="1" applyFont="1" applyBorder="1" applyAlignment="1">
      <alignment horizontal="center" vertical="center"/>
    </xf>
    <xf numFmtId="0" fontId="17" fillId="6" borderId="16" xfId="0" applyFont="1" applyFill="1" applyBorder="1" applyAlignment="1">
      <alignment horizontal="left" vertical="top" wrapText="1"/>
    </xf>
    <xf numFmtId="0" fontId="17" fillId="6" borderId="46" xfId="0" applyFont="1" applyFill="1" applyBorder="1" applyAlignment="1">
      <alignment horizontal="left" vertical="top" wrapText="1"/>
    </xf>
    <xf numFmtId="0" fontId="6" fillId="6" borderId="46"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25" xfId="0" applyFont="1" applyFill="1" applyBorder="1" applyAlignment="1">
      <alignment horizontal="left" vertical="top" wrapText="1"/>
    </xf>
    <xf numFmtId="0" fontId="17" fillId="6" borderId="24" xfId="0" applyFont="1" applyFill="1" applyBorder="1" applyAlignment="1">
      <alignment horizontal="left" vertical="top" wrapText="1"/>
    </xf>
    <xf numFmtId="0" fontId="31" fillId="5" borderId="15" xfId="0" applyFont="1" applyFill="1" applyBorder="1" applyAlignment="1">
      <alignment horizontal="center"/>
    </xf>
    <xf numFmtId="0" fontId="31" fillId="8" borderId="15" xfId="0" applyFont="1" applyFill="1" applyBorder="1" applyAlignment="1">
      <alignment horizontal="center"/>
    </xf>
    <xf numFmtId="0" fontId="31" fillId="5" borderId="15"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11" fillId="0" borderId="61" xfId="0" applyFont="1" applyBorder="1"/>
    <xf numFmtId="1" fontId="23" fillId="9" borderId="15" xfId="3" applyNumberFormat="1" applyFont="1" applyFill="1" applyBorder="1"/>
    <xf numFmtId="14" fontId="0" fillId="0" borderId="0" xfId="0" applyNumberFormat="1"/>
    <xf numFmtId="169" fontId="0" fillId="0" borderId="0" xfId="3" applyNumberFormat="1" applyFont="1"/>
    <xf numFmtId="0" fontId="11" fillId="6" borderId="24" xfId="0" applyFont="1" applyFill="1" applyBorder="1" applyAlignment="1">
      <alignment horizontal="left" vertical="top"/>
    </xf>
    <xf numFmtId="0" fontId="11" fillId="6" borderId="45" xfId="0" applyFont="1" applyFill="1" applyBorder="1" applyAlignment="1">
      <alignment horizontal="left" vertical="top"/>
    </xf>
    <xf numFmtId="0" fontId="11" fillId="6" borderId="25" xfId="0" applyFont="1" applyFill="1" applyBorder="1" applyAlignment="1">
      <alignment horizontal="left" vertical="top"/>
    </xf>
    <xf numFmtId="0" fontId="28" fillId="5" borderId="22"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0" xfId="0" applyFont="1" applyFill="1" applyBorder="1" applyAlignment="1">
      <alignment horizontal="left" vertical="center" wrapText="1"/>
    </xf>
    <xf numFmtId="0" fontId="28" fillId="5" borderId="21" xfId="0" applyFont="1" applyFill="1" applyBorder="1" applyAlignment="1">
      <alignment horizontal="left" vertical="center" wrapText="1"/>
    </xf>
    <xf numFmtId="0" fontId="13" fillId="7" borderId="22" xfId="0" applyFont="1" applyFill="1" applyBorder="1" applyAlignment="1">
      <alignment horizontal="left"/>
    </xf>
    <xf numFmtId="0" fontId="13" fillId="7" borderId="26" xfId="0" applyFont="1" applyFill="1" applyBorder="1" applyAlignment="1">
      <alignment horizontal="left"/>
    </xf>
    <xf numFmtId="0" fontId="13" fillId="7" borderId="23" xfId="0" applyFont="1" applyFill="1" applyBorder="1" applyAlignment="1">
      <alignment horizontal="left"/>
    </xf>
    <xf numFmtId="0" fontId="28" fillId="5" borderId="23"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28" fillId="5" borderId="17" xfId="0" applyFont="1" applyFill="1" applyBorder="1" applyAlignment="1">
      <alignment horizontal="left" vertical="center" wrapText="1"/>
    </xf>
    <xf numFmtId="0" fontId="28" fillId="5" borderId="18" xfId="0" applyFont="1" applyFill="1" applyBorder="1" applyAlignment="1">
      <alignment horizontal="left" vertical="center" wrapText="1"/>
    </xf>
    <xf numFmtId="0" fontId="17" fillId="6" borderId="16" xfId="0" applyFont="1" applyFill="1" applyBorder="1" applyAlignment="1">
      <alignment horizontal="left" vertical="top" wrapText="1"/>
    </xf>
    <xf numFmtId="0" fontId="17" fillId="6" borderId="46"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45" xfId="0" applyFont="1" applyFill="1" applyBorder="1" applyAlignment="1">
      <alignment horizontal="left" vertical="top" wrapText="1"/>
    </xf>
    <xf numFmtId="0" fontId="6" fillId="6" borderId="16" xfId="0" applyFont="1" applyFill="1" applyBorder="1" applyAlignment="1">
      <alignment horizontal="left" vertical="top" wrapText="1"/>
    </xf>
    <xf numFmtId="0" fontId="6" fillId="6" borderId="46" xfId="0" applyFont="1" applyFill="1" applyBorder="1" applyAlignment="1">
      <alignment horizontal="left" vertical="top" wrapText="1"/>
    </xf>
    <xf numFmtId="0" fontId="17" fillId="6" borderId="24" xfId="0" applyFont="1" applyFill="1" applyBorder="1" applyAlignment="1">
      <alignment horizontal="left" vertical="top" wrapText="1"/>
    </xf>
    <xf numFmtId="0" fontId="17" fillId="6" borderId="45" xfId="0" applyFont="1" applyFill="1" applyBorder="1" applyAlignment="1">
      <alignment horizontal="left" vertical="top" wrapText="1"/>
    </xf>
    <xf numFmtId="0" fontId="4" fillId="6" borderId="32" xfId="0" applyFont="1" applyFill="1" applyBorder="1" applyAlignment="1">
      <alignment horizontal="left" vertical="top" wrapText="1"/>
    </xf>
    <xf numFmtId="0" fontId="4" fillId="6" borderId="21" xfId="0" applyFont="1" applyFill="1" applyBorder="1" applyAlignment="1">
      <alignment horizontal="left" vertical="top" wrapText="1"/>
    </xf>
    <xf numFmtId="0" fontId="0" fillId="6" borderId="26" xfId="0" applyFill="1" applyBorder="1" applyAlignment="1">
      <alignment horizontal="left" wrapText="1"/>
    </xf>
    <xf numFmtId="0" fontId="0" fillId="6" borderId="23" xfId="0" applyFill="1" applyBorder="1" applyAlignment="1">
      <alignment horizontal="left" wrapText="1"/>
    </xf>
    <xf numFmtId="0" fontId="6" fillId="6" borderId="25" xfId="0" applyFont="1" applyFill="1" applyBorder="1" applyAlignment="1">
      <alignment horizontal="left" vertical="top" wrapText="1"/>
    </xf>
    <xf numFmtId="0" fontId="5" fillId="6" borderId="32" xfId="0" applyFont="1" applyFill="1" applyBorder="1" applyAlignment="1">
      <alignment horizontal="left" vertical="top" wrapText="1"/>
    </xf>
    <xf numFmtId="0" fontId="23" fillId="0" borderId="15" xfId="0" applyFont="1" applyBorder="1" applyAlignment="1">
      <alignment horizontal="left" vertical="top" wrapText="1"/>
    </xf>
    <xf numFmtId="0" fontId="23" fillId="0" borderId="22" xfId="0" applyFont="1" applyBorder="1" applyAlignment="1">
      <alignment horizontal="left" vertical="top" wrapText="1"/>
    </xf>
    <xf numFmtId="0" fontId="23" fillId="0" borderId="26" xfId="0" applyFont="1" applyBorder="1" applyAlignment="1">
      <alignment horizontal="left" vertical="top" wrapText="1"/>
    </xf>
    <xf numFmtId="0" fontId="23" fillId="0" borderId="23" xfId="0" applyFont="1" applyBorder="1" applyAlignment="1">
      <alignment horizontal="left" vertical="top" wrapText="1"/>
    </xf>
    <xf numFmtId="0" fontId="34" fillId="0" borderId="15" xfId="0" applyFont="1" applyBorder="1" applyAlignment="1">
      <alignment horizontal="center" vertical="top"/>
    </xf>
    <xf numFmtId="0" fontId="33" fillId="5" borderId="16" xfId="0" applyFont="1" applyFill="1" applyBorder="1" applyAlignment="1">
      <alignment horizontal="left" vertical="top" wrapText="1"/>
    </xf>
    <xf numFmtId="0" fontId="33" fillId="5" borderId="18" xfId="0" applyFont="1" applyFill="1" applyBorder="1" applyAlignment="1">
      <alignment horizontal="left" vertical="top" wrapText="1"/>
    </xf>
    <xf numFmtId="0" fontId="33" fillId="5" borderId="19" xfId="0" applyFont="1" applyFill="1" applyBorder="1" applyAlignment="1">
      <alignment horizontal="left" vertical="top" wrapText="1"/>
    </xf>
    <xf numFmtId="0" fontId="33" fillId="5" borderId="21" xfId="0" applyFont="1" applyFill="1" applyBorder="1" applyAlignment="1">
      <alignment horizontal="left" vertical="top" wrapText="1"/>
    </xf>
    <xf numFmtId="0" fontId="33" fillId="6" borderId="15" xfId="0" applyFont="1" applyFill="1" applyBorder="1" applyAlignment="1">
      <alignment horizontal="left" vertical="top"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0" fontId="32" fillId="4" borderId="23" xfId="0" applyFont="1" applyFill="1" applyBorder="1" applyAlignment="1">
      <alignment horizontal="left" vertical="center" wrapText="1"/>
    </xf>
    <xf numFmtId="0" fontId="43" fillId="3" borderId="16" xfId="0" applyFont="1" applyFill="1" applyBorder="1" applyAlignment="1">
      <alignment horizontal="left" vertical="center" wrapText="1"/>
    </xf>
    <xf numFmtId="0" fontId="43" fillId="3" borderId="18"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43" fillId="3" borderId="21" xfId="0" applyFont="1" applyFill="1" applyBorder="1" applyAlignment="1">
      <alignment horizontal="left" vertical="center" wrapText="1"/>
    </xf>
    <xf numFmtId="0" fontId="32" fillId="5" borderId="16" xfId="0" applyFont="1" applyFill="1" applyBorder="1" applyAlignment="1">
      <alignment horizontal="center" wrapText="1"/>
    </xf>
    <xf numFmtId="0" fontId="32" fillId="5" borderId="17" xfId="0" applyFont="1" applyFill="1" applyBorder="1" applyAlignment="1">
      <alignment horizontal="center" wrapText="1"/>
    </xf>
    <xf numFmtId="0" fontId="32" fillId="5" borderId="18" xfId="0" applyFont="1" applyFill="1" applyBorder="1" applyAlignment="1">
      <alignment horizontal="center" wrapText="1"/>
    </xf>
    <xf numFmtId="0" fontId="32" fillId="5" borderId="19" xfId="0" applyFont="1" applyFill="1" applyBorder="1" applyAlignment="1">
      <alignment horizontal="center" wrapText="1"/>
    </xf>
    <xf numFmtId="0" fontId="32" fillId="5" borderId="20" xfId="0" applyFont="1" applyFill="1" applyBorder="1" applyAlignment="1">
      <alignment horizontal="center" wrapText="1"/>
    </xf>
    <xf numFmtId="0" fontId="32" fillId="5" borderId="21" xfId="0" applyFont="1" applyFill="1" applyBorder="1" applyAlignment="1">
      <alignment horizontal="center" wrapText="1"/>
    </xf>
    <xf numFmtId="0" fontId="31" fillId="5" borderId="15" xfId="0" applyFont="1" applyFill="1" applyBorder="1" applyAlignment="1">
      <alignment horizontal="center"/>
    </xf>
    <xf numFmtId="0" fontId="31" fillId="8" borderId="15" xfId="0" applyFont="1" applyFill="1" applyBorder="1" applyAlignment="1">
      <alignment horizontal="center"/>
    </xf>
    <xf numFmtId="0" fontId="33" fillId="2" borderId="16" xfId="0" applyFont="1" applyFill="1" applyBorder="1" applyAlignment="1" applyProtection="1">
      <alignment horizontal="left" vertical="top" wrapText="1"/>
      <protection locked="0"/>
    </xf>
    <xf numFmtId="0" fontId="48" fillId="2" borderId="17" xfId="0" applyFont="1" applyFill="1" applyBorder="1" applyAlignment="1" applyProtection="1">
      <alignment horizontal="left" vertical="top" wrapText="1"/>
      <protection locked="0"/>
    </xf>
    <xf numFmtId="0" fontId="48" fillId="2" borderId="18" xfId="0" applyFont="1" applyFill="1" applyBorder="1" applyAlignment="1" applyProtection="1">
      <alignment horizontal="left" vertical="top" wrapText="1"/>
      <protection locked="0"/>
    </xf>
    <xf numFmtId="0" fontId="31" fillId="5" borderId="15" xfId="0" applyFont="1" applyFill="1" applyBorder="1" applyAlignment="1">
      <alignment horizontal="center" wrapText="1"/>
    </xf>
    <xf numFmtId="0" fontId="32" fillId="4" borderId="15" xfId="0" applyFont="1" applyFill="1" applyBorder="1" applyAlignment="1">
      <alignment horizontal="left" vertical="center" wrapText="1"/>
    </xf>
    <xf numFmtId="0" fontId="32" fillId="4" borderId="16" xfId="0" applyFont="1" applyFill="1" applyBorder="1" applyAlignment="1">
      <alignment horizontal="left" vertical="top" wrapText="1"/>
    </xf>
    <xf numFmtId="0" fontId="32" fillId="4" borderId="17" xfId="0" applyFont="1" applyFill="1" applyBorder="1" applyAlignment="1">
      <alignment horizontal="left" vertical="top" wrapText="1"/>
    </xf>
    <xf numFmtId="0" fontId="31" fillId="5" borderId="16" xfId="0" applyFont="1" applyFill="1" applyBorder="1" applyAlignment="1">
      <alignment horizontal="center" wrapText="1"/>
    </xf>
    <xf numFmtId="0" fontId="31" fillId="5" borderId="18" xfId="0" applyFont="1" applyFill="1" applyBorder="1" applyAlignment="1">
      <alignment horizontal="center" wrapText="1"/>
    </xf>
    <xf numFmtId="0" fontId="31" fillId="5" borderId="19" xfId="0" applyFont="1" applyFill="1" applyBorder="1" applyAlignment="1">
      <alignment horizontal="center" wrapText="1"/>
    </xf>
    <xf numFmtId="0" fontId="31" fillId="5" borderId="21" xfId="0" applyFont="1" applyFill="1" applyBorder="1" applyAlignment="1">
      <alignment horizontal="center" wrapText="1"/>
    </xf>
    <xf numFmtId="0" fontId="31" fillId="5" borderId="24" xfId="0" applyFont="1" applyFill="1" applyBorder="1" applyAlignment="1">
      <alignment horizontal="center" wrapText="1"/>
    </xf>
    <xf numFmtId="0" fontId="31" fillId="5" borderId="25" xfId="0" applyFont="1" applyFill="1" applyBorder="1" applyAlignment="1">
      <alignment horizontal="center" wrapText="1"/>
    </xf>
    <xf numFmtId="0" fontId="33" fillId="6" borderId="15" xfId="0" applyFont="1" applyFill="1" applyBorder="1" applyAlignment="1">
      <alignment horizontal="center" vertical="top" wrapText="1"/>
    </xf>
    <xf numFmtId="0" fontId="4" fillId="6" borderId="16" xfId="0" applyFont="1" applyFill="1" applyBorder="1" applyAlignment="1">
      <alignment horizontal="right" vertical="top" wrapText="1"/>
    </xf>
    <xf numFmtId="0" fontId="4" fillId="6" borderId="19" xfId="0" applyFont="1" applyFill="1" applyBorder="1" applyAlignment="1">
      <alignment horizontal="righ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20" xfId="0" applyFont="1" applyFill="1" applyBorder="1" applyAlignment="1">
      <alignment horizontal="left" vertical="top" wrapText="1"/>
    </xf>
    <xf numFmtId="0" fontId="38" fillId="5" borderId="15" xfId="0" applyFont="1" applyFill="1" applyBorder="1" applyAlignment="1">
      <alignment horizontal="left" vertical="center" wrapText="1"/>
    </xf>
    <xf numFmtId="0" fontId="38" fillId="5" borderId="24" xfId="0" applyFont="1" applyFill="1" applyBorder="1" applyAlignment="1">
      <alignment horizontal="left" vertical="center" wrapText="1"/>
    </xf>
    <xf numFmtId="0" fontId="33" fillId="3" borderId="15" xfId="0" applyFont="1" applyFill="1" applyBorder="1" applyAlignment="1">
      <alignment horizontal="left" vertical="center" wrapText="1"/>
    </xf>
    <xf numFmtId="168" fontId="33" fillId="2" borderId="22" xfId="2" applyNumberFormat="1" applyFont="1" applyFill="1" applyBorder="1" applyAlignment="1" applyProtection="1">
      <alignment horizontal="right" vertical="center" wrapText="1"/>
      <protection locked="0"/>
    </xf>
    <xf numFmtId="168" fontId="33" fillId="2" borderId="26" xfId="2" applyNumberFormat="1" applyFont="1" applyFill="1" applyBorder="1" applyAlignment="1" applyProtection="1">
      <alignment horizontal="right" vertical="center" wrapText="1"/>
      <protection locked="0"/>
    </xf>
    <xf numFmtId="168" fontId="33" fillId="2" borderId="23" xfId="2" applyNumberFormat="1" applyFont="1" applyFill="1" applyBorder="1" applyAlignment="1" applyProtection="1">
      <alignment horizontal="right" vertical="center" wrapText="1"/>
      <protection locked="0"/>
    </xf>
    <xf numFmtId="0" fontId="33" fillId="2" borderId="22" xfId="0" applyFont="1" applyFill="1" applyBorder="1" applyAlignment="1" applyProtection="1">
      <alignment horizontal="right" vertical="center" wrapText="1"/>
      <protection locked="0"/>
    </xf>
    <xf numFmtId="0" fontId="33" fillId="2" borderId="26" xfId="0" applyFont="1" applyFill="1" applyBorder="1" applyAlignment="1" applyProtection="1">
      <alignment horizontal="right" vertical="center" wrapText="1"/>
      <protection locked="0"/>
    </xf>
    <xf numFmtId="0" fontId="33" fillId="2" borderId="23" xfId="0" applyFont="1" applyFill="1" applyBorder="1" applyAlignment="1" applyProtection="1">
      <alignment horizontal="right" vertical="center" wrapText="1"/>
      <protection locked="0"/>
    </xf>
    <xf numFmtId="0" fontId="33" fillId="3" borderId="15" xfId="0" applyFont="1" applyFill="1" applyBorder="1" applyAlignment="1">
      <alignment horizontal="left" vertical="top" wrapText="1"/>
    </xf>
    <xf numFmtId="0" fontId="33" fillId="2" borderId="17"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166" fontId="33" fillId="2" borderId="22" xfId="2" applyNumberFormat="1" applyFont="1" applyFill="1" applyBorder="1" applyAlignment="1" applyProtection="1">
      <alignment horizontal="left" vertical="center" wrapText="1"/>
      <protection locked="0"/>
    </xf>
    <xf numFmtId="166" fontId="33" fillId="2" borderId="26" xfId="2" applyNumberFormat="1" applyFont="1" applyFill="1" applyBorder="1" applyAlignment="1" applyProtection="1">
      <alignment horizontal="left" vertical="center" wrapText="1"/>
      <protection locked="0"/>
    </xf>
    <xf numFmtId="166" fontId="33" fillId="2" borderId="23" xfId="2" applyNumberFormat="1" applyFont="1" applyFill="1" applyBorder="1" applyAlignment="1" applyProtection="1">
      <alignment horizontal="left" vertical="center" wrapText="1"/>
      <protection locked="0"/>
    </xf>
    <xf numFmtId="164" fontId="33" fillId="2" borderId="22" xfId="2" applyNumberFormat="1" applyFont="1" applyFill="1" applyBorder="1" applyAlignment="1" applyProtection="1">
      <alignment horizontal="left" vertical="center" wrapText="1"/>
      <protection locked="0"/>
    </xf>
    <xf numFmtId="164" fontId="33" fillId="2" borderId="26" xfId="2" applyNumberFormat="1" applyFont="1" applyFill="1" applyBorder="1" applyAlignment="1" applyProtection="1">
      <alignment horizontal="left" vertical="center" wrapText="1"/>
      <protection locked="0"/>
    </xf>
    <xf numFmtId="164" fontId="33" fillId="2" borderId="23" xfId="2" applyNumberFormat="1" applyFont="1" applyFill="1" applyBorder="1" applyAlignment="1" applyProtection="1">
      <alignment horizontal="left" vertical="center" wrapText="1"/>
      <protection locked="0"/>
    </xf>
    <xf numFmtId="0" fontId="33" fillId="6" borderId="16" xfId="0" applyFont="1" applyFill="1" applyBorder="1" applyAlignment="1">
      <alignment horizontal="left" vertical="top" wrapText="1"/>
    </xf>
    <xf numFmtId="0" fontId="33" fillId="6" borderId="18" xfId="0" applyFont="1" applyFill="1" applyBorder="1" applyAlignment="1">
      <alignment horizontal="left" vertical="top" wrapText="1"/>
    </xf>
    <xf numFmtId="0" fontId="33" fillId="6" borderId="19" xfId="0" applyFont="1" applyFill="1" applyBorder="1" applyAlignment="1">
      <alignment horizontal="left" vertical="top" wrapText="1"/>
    </xf>
    <xf numFmtId="0" fontId="33" fillId="6" borderId="21" xfId="0" applyFont="1" applyFill="1" applyBorder="1" applyAlignment="1">
      <alignment horizontal="left" vertical="top" wrapText="1"/>
    </xf>
    <xf numFmtId="0" fontId="33" fillId="6" borderId="24" xfId="0" applyFont="1" applyFill="1" applyBorder="1" applyAlignment="1">
      <alignment horizontal="left" vertical="top" wrapText="1"/>
    </xf>
    <xf numFmtId="0" fontId="33" fillId="6" borderId="25" xfId="0" applyFont="1" applyFill="1" applyBorder="1" applyAlignment="1">
      <alignment horizontal="left" vertical="top" wrapText="1"/>
    </xf>
    <xf numFmtId="9" fontId="33" fillId="2" borderId="22" xfId="2" applyNumberFormat="1" applyFont="1" applyFill="1" applyBorder="1" applyAlignment="1" applyProtection="1">
      <alignment horizontal="right" vertical="center" wrapText="1"/>
      <protection locked="0"/>
    </xf>
    <xf numFmtId="43" fontId="33" fillId="2" borderId="26" xfId="2" applyFont="1" applyFill="1" applyBorder="1" applyAlignment="1" applyProtection="1">
      <alignment horizontal="right" vertical="center" wrapText="1"/>
      <protection locked="0"/>
    </xf>
    <xf numFmtId="43" fontId="33" fillId="2" borderId="23" xfId="2" applyFont="1" applyFill="1" applyBorder="1" applyAlignment="1" applyProtection="1">
      <alignment horizontal="right" vertical="center" wrapText="1"/>
      <protection locked="0"/>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6" borderId="16" xfId="0" applyFont="1" applyFill="1" applyBorder="1" applyAlignment="1">
      <alignment horizontal="left" vertical="center" wrapText="1"/>
    </xf>
    <xf numFmtId="0" fontId="33" fillId="6" borderId="18" xfId="0" applyFont="1" applyFill="1" applyBorder="1" applyAlignment="1">
      <alignment horizontal="left" vertical="center" wrapText="1"/>
    </xf>
    <xf numFmtId="0" fontId="33" fillId="6" borderId="46" xfId="0" applyFont="1" applyFill="1" applyBorder="1" applyAlignment="1">
      <alignment horizontal="left" vertical="center" wrapText="1"/>
    </xf>
    <xf numFmtId="0" fontId="33" fillId="6" borderId="32" xfId="0" applyFont="1" applyFill="1" applyBorder="1" applyAlignment="1">
      <alignment horizontal="left" vertical="center" wrapText="1"/>
    </xf>
    <xf numFmtId="0" fontId="33" fillId="6" borderId="19" xfId="0" applyFont="1" applyFill="1" applyBorder="1" applyAlignment="1">
      <alignment horizontal="left" vertical="center" wrapText="1"/>
    </xf>
    <xf numFmtId="0" fontId="33" fillId="6" borderId="21" xfId="0" applyFont="1" applyFill="1" applyBorder="1" applyAlignment="1">
      <alignment horizontal="left" vertical="center" wrapText="1"/>
    </xf>
    <xf numFmtId="0" fontId="33" fillId="6" borderId="24" xfId="0" applyFont="1" applyFill="1" applyBorder="1" applyAlignment="1">
      <alignment horizontal="left" vertical="center" wrapText="1"/>
    </xf>
    <xf numFmtId="0" fontId="33" fillId="6" borderId="45" xfId="0" applyFont="1" applyFill="1" applyBorder="1" applyAlignment="1">
      <alignment horizontal="left" vertical="center" wrapText="1"/>
    </xf>
    <xf numFmtId="0" fontId="33" fillId="6" borderId="25" xfId="0" applyFont="1" applyFill="1" applyBorder="1" applyAlignment="1">
      <alignment horizontal="left" vertical="center" wrapText="1"/>
    </xf>
    <xf numFmtId="0" fontId="33" fillId="10" borderId="15" xfId="0" applyFont="1" applyFill="1" applyBorder="1" applyAlignment="1">
      <alignment horizontal="left" vertical="center" wrapText="1"/>
    </xf>
    <xf numFmtId="0" fontId="31" fillId="5" borderId="15" xfId="0" applyFont="1" applyFill="1" applyBorder="1" applyAlignment="1">
      <alignment horizontal="center" vertical="center" wrapText="1"/>
    </xf>
    <xf numFmtId="0" fontId="31" fillId="5" borderId="22"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6" fillId="4" borderId="22"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33" fillId="6" borderId="17" xfId="0" applyFont="1" applyFill="1" applyBorder="1" applyAlignment="1">
      <alignment horizontal="left" vertical="top" wrapText="1"/>
    </xf>
    <xf numFmtId="0" fontId="33" fillId="6" borderId="20" xfId="0" applyFont="1" applyFill="1" applyBorder="1" applyAlignment="1">
      <alignment horizontal="left" vertical="top" wrapText="1"/>
    </xf>
    <xf numFmtId="0" fontId="33" fillId="3" borderId="15" xfId="0" applyFont="1" applyFill="1" applyBorder="1" applyAlignment="1">
      <alignment vertical="center" wrapText="1"/>
    </xf>
    <xf numFmtId="0" fontId="33" fillId="6" borderId="22" xfId="0" applyFont="1" applyFill="1" applyBorder="1" applyAlignment="1" applyProtection="1">
      <alignment horizontal="left" vertical="top" wrapText="1"/>
      <protection locked="0"/>
    </xf>
    <xf numFmtId="0" fontId="33" fillId="6" borderId="26" xfId="0" applyFont="1" applyFill="1" applyBorder="1" applyAlignment="1" applyProtection="1">
      <alignment horizontal="left" vertical="top" wrapText="1"/>
      <protection locked="0"/>
    </xf>
    <xf numFmtId="0" fontId="33" fillId="6" borderId="23" xfId="0" applyFont="1" applyFill="1" applyBorder="1" applyAlignment="1" applyProtection="1">
      <alignment horizontal="left" vertical="top" wrapText="1"/>
      <protection locked="0"/>
    </xf>
    <xf numFmtId="0" fontId="33" fillId="2" borderId="22" xfId="0"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3" borderId="16" xfId="0" applyFont="1" applyFill="1" applyBorder="1" applyAlignment="1">
      <alignment horizontal="left" vertical="top" wrapText="1"/>
    </xf>
    <xf numFmtId="0" fontId="33" fillId="3" borderId="18" xfId="0" applyFont="1" applyFill="1" applyBorder="1" applyAlignment="1">
      <alignment horizontal="left" vertical="top" wrapText="1"/>
    </xf>
    <xf numFmtId="0" fontId="33" fillId="3" borderId="19" xfId="0" applyFont="1" applyFill="1" applyBorder="1" applyAlignment="1">
      <alignment horizontal="left" vertical="top" wrapText="1"/>
    </xf>
    <xf numFmtId="0" fontId="33" fillId="3" borderId="21" xfId="0" applyFont="1" applyFill="1" applyBorder="1" applyAlignment="1">
      <alignment horizontal="left" vertical="top" wrapText="1"/>
    </xf>
    <xf numFmtId="0" fontId="33" fillId="2" borderId="22" xfId="0" applyFont="1" applyFill="1" applyBorder="1" applyAlignment="1" applyProtection="1">
      <alignment horizontal="left" vertical="top" wrapText="1"/>
      <protection locked="0"/>
    </xf>
    <xf numFmtId="0" fontId="33" fillId="2" borderId="26"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9" fontId="33" fillId="2" borderId="26" xfId="2" applyNumberFormat="1" applyFont="1" applyFill="1" applyBorder="1" applyAlignment="1" applyProtection="1">
      <alignment horizontal="right" vertical="center" wrapText="1"/>
      <protection locked="0"/>
    </xf>
    <xf numFmtId="9" fontId="33" fillId="2" borderId="23" xfId="2" applyNumberFormat="1" applyFont="1" applyFill="1" applyBorder="1" applyAlignment="1" applyProtection="1">
      <alignment horizontal="right" vertical="center" wrapText="1"/>
      <protection locked="0"/>
    </xf>
    <xf numFmtId="0" fontId="32" fillId="4" borderId="4" xfId="0" applyFont="1" applyFill="1" applyBorder="1" applyAlignment="1">
      <alignment vertical="center" wrapText="1"/>
    </xf>
    <xf numFmtId="0" fontId="32" fillId="4" borderId="5" xfId="0" applyFont="1" applyFill="1" applyBorder="1" applyAlignment="1">
      <alignment vertical="center" wrapText="1"/>
    </xf>
    <xf numFmtId="0" fontId="32" fillId="4" borderId="9" xfId="0" applyFont="1" applyFill="1" applyBorder="1" applyAlignment="1">
      <alignment vertical="center" wrapText="1"/>
    </xf>
    <xf numFmtId="0" fontId="32" fillId="4" borderId="8" xfId="0" applyFont="1" applyFill="1" applyBorder="1" applyAlignment="1">
      <alignment vertical="center" wrapText="1"/>
    </xf>
    <xf numFmtId="0" fontId="31" fillId="5" borderId="27" xfId="0" applyFont="1" applyFill="1" applyBorder="1" applyAlignment="1">
      <alignment horizontal="center" vertical="center" wrapText="1"/>
    </xf>
    <xf numFmtId="43" fontId="2" fillId="0" borderId="15" xfId="2" applyFont="1" applyBorder="1" applyAlignment="1">
      <alignment horizontal="center"/>
    </xf>
    <xf numFmtId="0" fontId="32" fillId="4" borderId="13" xfId="0" applyFont="1" applyFill="1" applyBorder="1" applyAlignment="1">
      <alignment vertical="center" wrapText="1"/>
    </xf>
    <xf numFmtId="0" fontId="32" fillId="4" borderId="0" xfId="0" applyFont="1" applyFill="1" applyAlignment="1">
      <alignment vertical="center" wrapText="1"/>
    </xf>
    <xf numFmtId="0" fontId="32" fillId="4" borderId="14" xfId="0" applyFont="1" applyFill="1" applyBorder="1" applyAlignment="1">
      <alignment vertical="center" wrapText="1"/>
    </xf>
    <xf numFmtId="0" fontId="32" fillId="4" borderId="7" xfId="0" applyFont="1" applyFill="1" applyBorder="1" applyAlignment="1">
      <alignment vertical="center" wrapText="1"/>
    </xf>
    <xf numFmtId="0" fontId="31" fillId="5" borderId="28" xfId="0" applyFont="1" applyFill="1" applyBorder="1" applyAlignment="1">
      <alignment horizontal="center" vertical="center" wrapText="1"/>
    </xf>
    <xf numFmtId="43" fontId="2" fillId="2" borderId="15" xfId="2" applyFont="1" applyFill="1" applyBorder="1" applyAlignment="1">
      <alignment horizontal="center" vertical="center" wrapText="1"/>
    </xf>
    <xf numFmtId="43" fontId="2" fillId="2" borderId="29" xfId="2" applyFont="1" applyFill="1" applyBorder="1" applyAlignment="1">
      <alignment horizontal="center" vertical="center" wrapText="1"/>
    </xf>
    <xf numFmtId="0" fontId="33" fillId="6" borderId="38" xfId="0" applyFont="1" applyFill="1" applyBorder="1" applyAlignment="1">
      <alignment horizontal="left" vertical="center" wrapText="1"/>
    </xf>
    <xf numFmtId="0" fontId="33" fillId="6" borderId="17" xfId="0" applyFont="1" applyFill="1" applyBorder="1" applyAlignment="1">
      <alignment horizontal="left" vertical="center" wrapText="1"/>
    </xf>
    <xf numFmtId="0" fontId="33" fillId="6" borderId="33" xfId="0" applyFont="1" applyFill="1" applyBorder="1" applyAlignment="1">
      <alignment horizontal="left" vertical="center" wrapText="1"/>
    </xf>
    <xf numFmtId="0" fontId="33" fillId="6" borderId="20" xfId="0" applyFont="1" applyFill="1" applyBorder="1" applyAlignment="1">
      <alignment horizontal="left" vertical="center" wrapText="1"/>
    </xf>
    <xf numFmtId="43" fontId="2" fillId="0" borderId="29" xfId="2" applyFont="1" applyBorder="1" applyAlignment="1">
      <alignment horizontal="center"/>
    </xf>
    <xf numFmtId="43" fontId="2" fillId="0" borderId="23" xfId="2" applyFont="1" applyBorder="1" applyAlignment="1">
      <alignment horizontal="center"/>
    </xf>
    <xf numFmtId="0" fontId="32" fillId="4" borderId="10" xfId="0" applyFont="1" applyFill="1" applyBorder="1" applyAlignment="1">
      <alignment vertical="center" wrapText="1"/>
    </xf>
    <xf numFmtId="0" fontId="32" fillId="4" borderId="12" xfId="0" applyFont="1" applyFill="1" applyBorder="1" applyAlignment="1">
      <alignment vertical="center" wrapText="1"/>
    </xf>
    <xf numFmtId="0" fontId="52" fillId="12" borderId="1" xfId="0" applyFont="1" applyFill="1" applyBorder="1" applyAlignment="1">
      <alignment vertical="center" wrapText="1"/>
    </xf>
    <xf numFmtId="0" fontId="52" fillId="12" borderId="2" xfId="0" applyFont="1" applyFill="1" applyBorder="1" applyAlignment="1">
      <alignment vertical="center" wrapText="1"/>
    </xf>
    <xf numFmtId="0" fontId="52" fillId="12" borderId="3" xfId="0" applyFont="1" applyFill="1" applyBorder="1" applyAlignment="1">
      <alignment vertical="center" wrapText="1"/>
    </xf>
    <xf numFmtId="0" fontId="33" fillId="3" borderId="4" xfId="0" applyFont="1" applyFill="1" applyBorder="1" applyAlignment="1">
      <alignment vertical="center" wrapText="1"/>
    </xf>
    <xf numFmtId="0" fontId="33" fillId="3" borderId="6" xfId="0" applyFont="1" applyFill="1" applyBorder="1" applyAlignment="1">
      <alignmen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31" fillId="5" borderId="35" xfId="0" applyFont="1" applyFill="1" applyBorder="1" applyAlignment="1">
      <alignment horizontal="center" vertical="center" wrapText="1"/>
    </xf>
    <xf numFmtId="0" fontId="31" fillId="5" borderId="36" xfId="0" applyFont="1" applyFill="1" applyBorder="1" applyAlignment="1">
      <alignment horizontal="center" vertical="center" wrapText="1"/>
    </xf>
    <xf numFmtId="0" fontId="31" fillId="5" borderId="34" xfId="0" applyFont="1" applyFill="1" applyBorder="1" applyAlignment="1">
      <alignment horizontal="center" vertical="center" wrapText="1"/>
    </xf>
    <xf numFmtId="0" fontId="31" fillId="5" borderId="37" xfId="0" applyFont="1" applyFill="1" applyBorder="1" applyAlignment="1">
      <alignment horizontal="center" vertical="center" wrapText="1"/>
    </xf>
    <xf numFmtId="0" fontId="31" fillId="5" borderId="55" xfId="0" applyFont="1" applyFill="1" applyBorder="1" applyAlignment="1">
      <alignment horizontal="center" vertical="center" wrapText="1"/>
    </xf>
    <xf numFmtId="0" fontId="33" fillId="3" borderId="4" xfId="0" applyFont="1" applyFill="1" applyBorder="1" applyAlignment="1">
      <alignment horizontal="left" vertical="center" wrapText="1"/>
    </xf>
    <xf numFmtId="0" fontId="33" fillId="3" borderId="44" xfId="0" applyFont="1" applyFill="1" applyBorder="1" applyAlignment="1">
      <alignment horizontal="left" vertical="center" wrapText="1"/>
    </xf>
    <xf numFmtId="43" fontId="33" fillId="2" borderId="10" xfId="2" applyFont="1" applyFill="1" applyBorder="1" applyAlignment="1" applyProtection="1">
      <alignment horizontal="left" vertical="center" wrapText="1"/>
    </xf>
    <xf numFmtId="43" fontId="33" fillId="2" borderId="12" xfId="2" applyFont="1" applyFill="1" applyBorder="1" applyAlignment="1" applyProtection="1">
      <alignment horizontal="left" vertical="center" wrapText="1"/>
    </xf>
    <xf numFmtId="43" fontId="33" fillId="2" borderId="11" xfId="2" applyFont="1" applyFill="1" applyBorder="1" applyAlignment="1" applyProtection="1">
      <alignment horizontal="left" vertical="center" wrapText="1"/>
    </xf>
    <xf numFmtId="0" fontId="33" fillId="3" borderId="13" xfId="0" applyFont="1" applyFill="1" applyBorder="1" applyAlignment="1">
      <alignment horizontal="left" vertical="center" wrapText="1"/>
    </xf>
    <xf numFmtId="0" fontId="33" fillId="3" borderId="0" xfId="0" applyFont="1" applyFill="1" applyAlignment="1">
      <alignment horizontal="left" vertical="center" wrapText="1"/>
    </xf>
    <xf numFmtId="0" fontId="31" fillId="5" borderId="39" xfId="0" applyFont="1" applyFill="1" applyBorder="1" applyAlignment="1">
      <alignment horizontal="center" vertical="center" wrapText="1"/>
    </xf>
    <xf numFmtId="43" fontId="2" fillId="0" borderId="40" xfId="2" applyFont="1" applyBorder="1" applyAlignment="1">
      <alignment horizontal="center"/>
    </xf>
    <xf numFmtId="164" fontId="2" fillId="0" borderId="40" xfId="2" applyNumberFormat="1" applyFont="1" applyBorder="1" applyAlignment="1">
      <alignment horizontal="center"/>
    </xf>
    <xf numFmtId="164" fontId="2" fillId="0" borderId="15" xfId="2" applyNumberFormat="1" applyFont="1" applyBorder="1" applyAlignment="1">
      <alignment horizontal="center"/>
    </xf>
    <xf numFmtId="0" fontId="33" fillId="6" borderId="7" xfId="0" applyFont="1" applyFill="1" applyBorder="1" applyAlignment="1">
      <alignment horizontal="left" vertical="top" wrapText="1"/>
    </xf>
    <xf numFmtId="0" fontId="33" fillId="6" borderId="9" xfId="0" applyFont="1" applyFill="1" applyBorder="1" applyAlignment="1">
      <alignment horizontal="left" vertical="top" wrapText="1"/>
    </xf>
    <xf numFmtId="0" fontId="33" fillId="6" borderId="13" xfId="0" applyFont="1" applyFill="1" applyBorder="1" applyAlignment="1">
      <alignment horizontal="left" vertical="top" wrapText="1"/>
    </xf>
    <xf numFmtId="0" fontId="33" fillId="6" borderId="0" xfId="0" applyFont="1" applyFill="1" applyAlignment="1">
      <alignment horizontal="left" vertical="top" wrapText="1"/>
    </xf>
    <xf numFmtId="0" fontId="33" fillId="6" borderId="38" xfId="0" applyFont="1" applyFill="1" applyBorder="1" applyAlignment="1">
      <alignment horizontal="center" vertical="top" wrapText="1"/>
    </xf>
    <xf numFmtId="0" fontId="33" fillId="6" borderId="17" xfId="0" applyFont="1" applyFill="1" applyBorder="1" applyAlignment="1">
      <alignment horizontal="center" vertical="top" wrapText="1"/>
    </xf>
    <xf numFmtId="0" fontId="33" fillId="6" borderId="56" xfId="0" applyFont="1" applyFill="1" applyBorder="1" applyAlignment="1">
      <alignment horizontal="center" vertical="top" wrapText="1"/>
    </xf>
    <xf numFmtId="0" fontId="33" fillId="6" borderId="10" xfId="0" applyFont="1" applyFill="1" applyBorder="1" applyAlignment="1">
      <alignment horizontal="center" vertical="top" wrapText="1"/>
    </xf>
    <xf numFmtId="0" fontId="33" fillId="6" borderId="12" xfId="0" applyFont="1" applyFill="1" applyBorder="1" applyAlignment="1">
      <alignment horizontal="center" vertical="top" wrapText="1"/>
    </xf>
    <xf numFmtId="0" fontId="33" fillId="6" borderId="11" xfId="0" applyFont="1" applyFill="1" applyBorder="1" applyAlignment="1">
      <alignment horizontal="center" vertical="top" wrapText="1"/>
    </xf>
    <xf numFmtId="0" fontId="32" fillId="4" borderId="6" xfId="0" applyFont="1" applyFill="1" applyBorder="1" applyAlignment="1">
      <alignment vertical="center" wrapText="1"/>
    </xf>
    <xf numFmtId="164" fontId="33" fillId="2" borderId="23" xfId="2" applyNumberFormat="1" applyFont="1" applyFill="1" applyBorder="1" applyAlignment="1">
      <alignment horizontal="center" vertical="center" wrapText="1"/>
    </xf>
    <xf numFmtId="164" fontId="33" fillId="2" borderId="15" xfId="2" applyNumberFormat="1" applyFont="1" applyFill="1" applyBorder="1" applyAlignment="1">
      <alignment horizontal="center" vertical="center" wrapText="1"/>
    </xf>
    <xf numFmtId="164" fontId="33" fillId="2" borderId="22" xfId="2" applyNumberFormat="1" applyFont="1" applyFill="1" applyBorder="1" applyAlignment="1">
      <alignment horizontal="center" vertical="center" wrapText="1"/>
    </xf>
    <xf numFmtId="164" fontId="33" fillId="2" borderId="29" xfId="2" applyNumberFormat="1"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43" xfId="0" applyFont="1" applyFill="1" applyBorder="1" applyAlignment="1">
      <alignment horizontal="center" vertical="center" wrapText="1"/>
    </xf>
    <xf numFmtId="164" fontId="33" fillId="2" borderId="18" xfId="2" applyNumberFormat="1" applyFont="1" applyFill="1" applyBorder="1" applyAlignment="1">
      <alignment horizontal="center" vertical="center" wrapText="1"/>
    </xf>
    <xf numFmtId="164" fontId="33" fillId="2" borderId="24" xfId="2" applyNumberFormat="1" applyFont="1" applyFill="1" applyBorder="1" applyAlignment="1">
      <alignment horizontal="center" vertical="center" wrapText="1"/>
    </xf>
    <xf numFmtId="43" fontId="33" fillId="2" borderId="24" xfId="2" applyFont="1" applyFill="1" applyBorder="1" applyAlignment="1">
      <alignment horizontal="center" vertical="center" wrapText="1"/>
    </xf>
    <xf numFmtId="164" fontId="33" fillId="2" borderId="16" xfId="2" applyNumberFormat="1" applyFont="1" applyFill="1" applyBorder="1" applyAlignment="1">
      <alignment horizontal="center" vertical="center" wrapText="1"/>
    </xf>
    <xf numFmtId="164" fontId="33" fillId="2" borderId="42" xfId="2" applyNumberFormat="1" applyFont="1" applyFill="1" applyBorder="1" applyAlignment="1">
      <alignment horizontal="center" vertical="center" wrapText="1"/>
    </xf>
    <xf numFmtId="0" fontId="33" fillId="6" borderId="52" xfId="0" applyFont="1" applyFill="1" applyBorder="1" applyAlignment="1">
      <alignment horizontal="left" vertical="top" wrapText="1"/>
    </xf>
    <xf numFmtId="0" fontId="33" fillId="6" borderId="46" xfId="0" applyFont="1" applyFill="1" applyBorder="1" applyAlignment="1">
      <alignment horizontal="left" vertical="top" wrapText="1"/>
    </xf>
    <xf numFmtId="164" fontId="33" fillId="2" borderId="10" xfId="2" applyNumberFormat="1" applyFont="1" applyFill="1" applyBorder="1" applyAlignment="1" applyProtection="1">
      <alignment horizontal="left" vertical="center" wrapText="1"/>
    </xf>
    <xf numFmtId="164" fontId="33" fillId="2" borderId="12" xfId="2" applyNumberFormat="1" applyFont="1" applyFill="1" applyBorder="1" applyAlignment="1" applyProtection="1">
      <alignment horizontal="left" vertical="center" wrapText="1"/>
    </xf>
    <xf numFmtId="164" fontId="33" fillId="2" borderId="11" xfId="2" applyNumberFormat="1" applyFont="1" applyFill="1" applyBorder="1" applyAlignment="1" applyProtection="1">
      <alignment horizontal="left" vertical="center" wrapText="1"/>
    </xf>
    <xf numFmtId="164" fontId="33" fillId="2" borderId="7" xfId="2" applyNumberFormat="1" applyFont="1" applyFill="1" applyBorder="1" applyAlignment="1" applyProtection="1">
      <alignment horizontal="left" vertical="center" wrapText="1"/>
    </xf>
    <xf numFmtId="164" fontId="33" fillId="2" borderId="9" xfId="2" applyNumberFormat="1" applyFont="1" applyFill="1" applyBorder="1" applyAlignment="1" applyProtection="1">
      <alignment horizontal="left" vertical="center" wrapText="1"/>
    </xf>
    <xf numFmtId="164" fontId="33" fillId="2" borderId="8" xfId="2" applyNumberFormat="1" applyFont="1" applyFill="1" applyBorder="1" applyAlignment="1" applyProtection="1">
      <alignment horizontal="left" vertical="center" wrapText="1"/>
    </xf>
    <xf numFmtId="43" fontId="33" fillId="2" borderId="4" xfId="2" applyFont="1" applyFill="1" applyBorder="1" applyAlignment="1" applyProtection="1">
      <alignment horizontal="left" vertical="center" wrapText="1"/>
    </xf>
    <xf numFmtId="43" fontId="33" fillId="2" borderId="5" xfId="2" applyFont="1" applyFill="1" applyBorder="1" applyAlignment="1" applyProtection="1">
      <alignment horizontal="left" vertical="center" wrapText="1"/>
    </xf>
    <xf numFmtId="43" fontId="33" fillId="2" borderId="6" xfId="2" applyFont="1" applyFill="1" applyBorder="1" applyAlignment="1" applyProtection="1">
      <alignment horizontal="left" vertical="center" wrapText="1"/>
    </xf>
    <xf numFmtId="0" fontId="4" fillId="6" borderId="38" xfId="0" applyFont="1" applyFill="1" applyBorder="1" applyAlignment="1">
      <alignment horizontal="right" vertical="top" wrapText="1"/>
    </xf>
    <xf numFmtId="0" fontId="4" fillId="6" borderId="33" xfId="0" applyFont="1" applyFill="1" applyBorder="1" applyAlignment="1">
      <alignment horizontal="right"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166" fontId="33" fillId="2" borderId="57" xfId="0" applyNumberFormat="1" applyFont="1" applyFill="1" applyBorder="1" applyAlignment="1">
      <alignment horizontal="center" vertical="center" wrapText="1"/>
    </xf>
    <xf numFmtId="166" fontId="33" fillId="2" borderId="5" xfId="0" applyNumberFormat="1" applyFont="1" applyFill="1" applyBorder="1" applyAlignment="1">
      <alignment horizontal="center" vertical="center" wrapText="1"/>
    </xf>
    <xf numFmtId="166" fontId="33" fillId="2" borderId="6" xfId="0" applyNumberFormat="1" applyFont="1" applyFill="1" applyBorder="1" applyAlignment="1">
      <alignment horizontal="center" vertical="center" wrapText="1"/>
    </xf>
    <xf numFmtId="0" fontId="33" fillId="6" borderId="12" xfId="0" applyFont="1" applyFill="1" applyBorder="1" applyAlignment="1">
      <alignment horizontal="left" vertical="top" wrapText="1"/>
    </xf>
    <xf numFmtId="0" fontId="33" fillId="6" borderId="47" xfId="0" applyFont="1" applyFill="1" applyBorder="1" applyAlignment="1">
      <alignment horizontal="left" vertical="top" wrapText="1"/>
    </xf>
    <xf numFmtId="0" fontId="33" fillId="6" borderId="51" xfId="0" applyFont="1" applyFill="1" applyBorder="1" applyAlignment="1">
      <alignment horizontal="left" vertical="center" wrapText="1"/>
    </xf>
    <xf numFmtId="0" fontId="4" fillId="6" borderId="10" xfId="0" applyFont="1" applyFill="1" applyBorder="1" applyAlignment="1">
      <alignment horizontal="right" vertical="top" wrapText="1"/>
    </xf>
    <xf numFmtId="0" fontId="23" fillId="0" borderId="50" xfId="0" applyFont="1" applyBorder="1" applyAlignment="1">
      <alignment horizontal="left" vertical="top" wrapText="1"/>
    </xf>
    <xf numFmtId="0" fontId="23" fillId="0" borderId="48" xfId="0" applyFont="1" applyBorder="1" applyAlignment="1">
      <alignment horizontal="left" vertical="top" wrapText="1"/>
    </xf>
    <xf numFmtId="0" fontId="33" fillId="6" borderId="40" xfId="0" applyFont="1" applyFill="1" applyBorder="1" applyAlignment="1">
      <alignment horizontal="left" vertical="center" wrapText="1"/>
    </xf>
    <xf numFmtId="0" fontId="33" fillId="6" borderId="15" xfId="0" applyFont="1" applyFill="1" applyBorder="1" applyAlignment="1">
      <alignment horizontal="left" vertical="center" wrapText="1"/>
    </xf>
    <xf numFmtId="0" fontId="32" fillId="3" borderId="39"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3" fillId="6" borderId="7" xfId="0" applyFont="1" applyFill="1" applyBorder="1" applyAlignment="1">
      <alignment horizontal="center" vertical="top" wrapText="1"/>
    </xf>
    <xf numFmtId="0" fontId="33" fillId="6" borderId="43" xfId="0" applyFont="1" applyFill="1" applyBorder="1" applyAlignment="1">
      <alignment horizontal="center" vertical="top" wrapText="1"/>
    </xf>
    <xf numFmtId="0" fontId="33" fillId="6" borderId="47" xfId="0" applyFont="1" applyFill="1" applyBorder="1" applyAlignment="1">
      <alignment horizontal="center" vertical="top" wrapText="1"/>
    </xf>
    <xf numFmtId="0" fontId="33" fillId="6" borderId="53" xfId="0" applyFont="1" applyFill="1" applyBorder="1" applyAlignment="1">
      <alignment horizontal="center" vertical="top" wrapText="1"/>
    </xf>
    <xf numFmtId="0" fontId="33" fillId="6" borderId="54" xfId="0" applyFont="1" applyFill="1" applyBorder="1" applyAlignment="1">
      <alignment horizontal="center" vertical="top" wrapText="1"/>
    </xf>
    <xf numFmtId="0" fontId="30" fillId="6" borderId="38" xfId="0" applyFont="1" applyFill="1" applyBorder="1" applyAlignment="1">
      <alignment horizontal="left"/>
    </xf>
    <xf numFmtId="0" fontId="30" fillId="6" borderId="18" xfId="0" applyFont="1" applyFill="1" applyBorder="1" applyAlignment="1">
      <alignment horizontal="left"/>
    </xf>
    <xf numFmtId="0" fontId="23" fillId="0" borderId="39"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1" fillId="3" borderId="15" xfId="0" applyFont="1" applyFill="1" applyBorder="1" applyAlignment="1">
      <alignment vertical="center" wrapText="1"/>
    </xf>
    <xf numFmtId="0" fontId="1" fillId="6" borderId="0" xfId="0" applyFont="1" applyFill="1" applyAlignment="1" applyProtection="1">
      <alignment vertical="center" wrapText="1"/>
      <protection locked="0"/>
    </xf>
    <xf numFmtId="14" fontId="1" fillId="2" borderId="22" xfId="0" applyNumberFormat="1"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1" fillId="6" borderId="22"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0" xfId="0" applyFont="1" applyFill="1" applyAlignment="1" applyProtection="1">
      <alignment vertical="top" wrapText="1"/>
      <protection locked="0"/>
    </xf>
    <xf numFmtId="0" fontId="1" fillId="3" borderId="15" xfId="0" applyFont="1" applyFill="1" applyBorder="1" applyAlignment="1">
      <alignment vertical="top" wrapText="1"/>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3" borderId="15" xfId="0" applyFont="1" applyFill="1" applyBorder="1" applyAlignment="1">
      <alignment horizontal="left" vertical="top" wrapText="1"/>
    </xf>
    <xf numFmtId="0" fontId="1" fillId="2" borderId="22" xfId="0" applyFont="1" applyFill="1" applyBorder="1" applyAlignment="1" applyProtection="1">
      <alignment horizontal="left" vertical="center" wrapText="1"/>
      <protection locked="0"/>
    </xf>
    <xf numFmtId="0" fontId="1" fillId="3" borderId="22" xfId="0" applyFont="1" applyFill="1" applyBorder="1" applyAlignment="1">
      <alignment horizontal="left" vertical="top" wrapText="1"/>
    </xf>
    <xf numFmtId="0" fontId="1" fillId="2" borderId="15" xfId="0" applyFont="1" applyFill="1" applyBorder="1" applyAlignment="1" applyProtection="1">
      <alignment horizontal="left" vertical="top" wrapText="1"/>
      <protection locked="0"/>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0" borderId="15" xfId="0" applyFont="1" applyBorder="1" applyAlignment="1" applyProtection="1">
      <alignment horizontal="left" vertical="top" wrapText="1"/>
      <protection locked="0"/>
    </xf>
    <xf numFmtId="0" fontId="1" fillId="3" borderId="46"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6" borderId="15" xfId="0" applyFont="1" applyFill="1" applyBorder="1" applyAlignment="1">
      <alignment horizontal="left" vertical="top" wrapText="1"/>
    </xf>
    <xf numFmtId="0" fontId="1" fillId="3" borderId="15" xfId="0" applyFont="1" applyFill="1" applyBorder="1" applyAlignment="1">
      <alignment horizontal="left" vertical="center" wrapText="1"/>
    </xf>
    <xf numFmtId="0" fontId="1" fillId="6" borderId="15" xfId="0" applyFont="1" applyFill="1" applyBorder="1" applyAlignment="1">
      <alignment horizontal="center" vertical="top" wrapText="1"/>
    </xf>
    <xf numFmtId="0" fontId="1" fillId="3" borderId="4" xfId="0" applyFont="1" applyFill="1" applyBorder="1" applyAlignment="1">
      <alignment vertical="center" wrapText="1"/>
    </xf>
    <xf numFmtId="0" fontId="1" fillId="3" borderId="6"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14" fontId="1" fillId="2" borderId="7" xfId="0" applyNumberFormat="1" applyFont="1" applyFill="1" applyBorder="1" applyAlignment="1">
      <alignment horizontal="left" vertical="center"/>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6" borderId="39"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28" xfId="0" applyFont="1" applyFill="1" applyBorder="1" applyAlignment="1">
      <alignment horizontal="left" vertical="top" wrapText="1"/>
    </xf>
    <xf numFmtId="0" fontId="1" fillId="6" borderId="41"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3" borderId="8" xfId="0" applyFont="1" applyFill="1" applyBorder="1" applyAlignment="1">
      <alignmen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5" borderId="4"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6" borderId="4"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protection locked="0"/>
    </xf>
    <xf numFmtId="0" fontId="1" fillId="6" borderId="6" xfId="0" applyFont="1" applyFill="1" applyBorder="1" applyAlignment="1" applyProtection="1">
      <alignment horizontal="left" vertical="center" wrapText="1"/>
      <protection locked="0"/>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5" xfId="0" applyFont="1" applyFill="1" applyBorder="1" applyAlignment="1">
      <alignment vertical="center"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6" borderId="33"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1" fillId="0" borderId="13"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1" fillId="3" borderId="8" xfId="0" applyFont="1" applyFill="1" applyBorder="1" applyAlignment="1">
      <alignment horizontal="left" vertical="center" wrapText="1"/>
    </xf>
    <xf numFmtId="0" fontId="1" fillId="0" borderId="40" xfId="0" applyFont="1" applyBorder="1" applyAlignment="1">
      <alignment horizontal="left" vertical="top" wrapText="1"/>
    </xf>
    <xf numFmtId="0" fontId="1" fillId="0" borderId="15" xfId="0" applyFont="1" applyBorder="1" applyAlignment="1">
      <alignment horizontal="left" vertical="top" wrapText="1"/>
    </xf>
    <xf numFmtId="0" fontId="1" fillId="6" borderId="15" xfId="0" applyFont="1" applyFill="1" applyBorder="1" applyAlignment="1">
      <alignment horizontal="center" vertical="center" wrapText="1"/>
    </xf>
    <xf numFmtId="0" fontId="1" fillId="0" borderId="41" xfId="0" applyFont="1" applyBorder="1" applyAlignment="1">
      <alignment horizontal="left" vertical="top" wrapText="1"/>
    </xf>
    <xf numFmtId="0" fontId="1" fillId="0" borderId="30" xfId="0" applyFont="1" applyBorder="1" applyAlignment="1">
      <alignment horizontal="left" vertical="top" wrapText="1"/>
    </xf>
    <xf numFmtId="0" fontId="1" fillId="6" borderId="30" xfId="0" applyFont="1" applyFill="1" applyBorder="1" applyAlignment="1">
      <alignment horizontal="center" vertical="center" wrapText="1"/>
    </xf>
    <xf numFmtId="0" fontId="1" fillId="6" borderId="30" xfId="0" applyFont="1" applyFill="1" applyBorder="1" applyAlignment="1">
      <alignment horizontal="center" vertical="top" wrapText="1"/>
    </xf>
    <xf numFmtId="0" fontId="1" fillId="3" borderId="40"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59"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2" borderId="44" xfId="0" applyFont="1" applyFill="1" applyBorder="1" applyAlignment="1">
      <alignment horizontal="left" vertical="top" wrapText="1"/>
    </xf>
    <xf numFmtId="0" fontId="1" fillId="2" borderId="60" xfId="0" applyFont="1" applyFill="1" applyBorder="1" applyAlignment="1">
      <alignment horizontal="left" vertical="top" wrapText="1"/>
    </xf>
    <xf numFmtId="0" fontId="1" fillId="2" borderId="58" xfId="0" applyFont="1" applyFill="1" applyBorder="1" applyAlignment="1">
      <alignment horizontal="left" vertical="top" wrapText="1"/>
    </xf>
  </cellXfs>
  <cellStyles count="5">
    <cellStyle name="Comma" xfId="2" builtinId="3"/>
    <cellStyle name="Good" xfId="4" builtinId="26"/>
    <cellStyle name="Hyperlink" xfId="1" builtinId="8"/>
    <cellStyle name="Normal" xfId="0" builtinId="0"/>
    <cellStyle name="Percent" xfId="3" builtinId="5"/>
  </cellStyles>
  <dxfs count="7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auto="1"/>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18</xdr:row>
      <xdr:rowOff>42722</xdr:rowOff>
    </xdr:from>
    <xdr:to>
      <xdr:col>5</xdr:col>
      <xdr:colOff>1312334</xdr:colOff>
      <xdr:row>28</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4763</xdr:colOff>
      <xdr:row>10</xdr:row>
      <xdr:rowOff>292893</xdr:rowOff>
    </xdr:from>
    <xdr:to>
      <xdr:col>17</xdr:col>
      <xdr:colOff>4763</xdr:colOff>
      <xdr:row>10</xdr:row>
      <xdr:rowOff>3557587</xdr:rowOff>
    </xdr:to>
    <xdr:pic>
      <xdr:nvPicPr>
        <xdr:cNvPr id="2" name="Picture 1" descr="http://www.ipieca.org/media/2392/fig1.png?width=500&amp;height=343.2741116751269">
          <a:extLst>
            <a:ext uri="{FF2B5EF4-FFF2-40B4-BE49-F238E27FC236}">
              <a16:creationId xmlns:a16="http://schemas.microsoft.com/office/drawing/2014/main" id="{0B878499-CEE5-4DE2-8B46-E6144EAA2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413" y="2362993"/>
          <a:ext cx="4762500" cy="3264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4763</xdr:colOff>
      <xdr:row>10</xdr:row>
      <xdr:rowOff>292893</xdr:rowOff>
    </xdr:from>
    <xdr:to>
      <xdr:col>17</xdr:col>
      <xdr:colOff>4763</xdr:colOff>
      <xdr:row>10</xdr:row>
      <xdr:rowOff>3557587</xdr:rowOff>
    </xdr:to>
    <xdr:pic>
      <xdr:nvPicPr>
        <xdr:cNvPr id="3" name="Picture 2" descr="http://www.ipieca.org/media/2392/fig1.png?width=500&amp;height=343.2741116751269">
          <a:extLst>
            <a:ext uri="{FF2B5EF4-FFF2-40B4-BE49-F238E27FC236}">
              <a16:creationId xmlns:a16="http://schemas.microsoft.com/office/drawing/2014/main" id="{DD07B0BF-7ADF-44A6-8C4F-8FE4C5925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0588" y="2397918"/>
          <a:ext cx="4762500" cy="3264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190500</xdr:colOff>
      <xdr:row>0</xdr:row>
      <xdr:rowOff>71438</xdr:rowOff>
    </xdr:from>
    <xdr:to>
      <xdr:col>14</xdr:col>
      <xdr:colOff>809624</xdr:colOff>
      <xdr:row>1</xdr:row>
      <xdr:rowOff>230304</xdr:rowOff>
    </xdr:to>
    <xdr:pic>
      <xdr:nvPicPr>
        <xdr:cNvPr id="2" name="Picture 1" descr="Resultado de imagen de ecn part of tno logo">
          <a:extLst>
            <a:ext uri="{FF2B5EF4-FFF2-40B4-BE49-F238E27FC236}">
              <a16:creationId xmlns:a16="http://schemas.microsoft.com/office/drawing/2014/main" id="{2E016DD3-0C4C-4A5F-B0B5-140FA413A02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10001250" y="71438"/>
          <a:ext cx="3119437" cy="42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38100</xdr:colOff>
      <xdr:row>4</xdr:row>
      <xdr:rowOff>66675</xdr:rowOff>
    </xdr:from>
    <xdr:to>
      <xdr:col>23</xdr:col>
      <xdr:colOff>66675</xdr:colOff>
      <xdr:row>26</xdr:row>
      <xdr:rowOff>180975</xdr:rowOff>
    </xdr:to>
    <xdr:pic>
      <xdr:nvPicPr>
        <xdr:cNvPr id="2" name="Picture 1">
          <a:extLst>
            <a:ext uri="{FF2B5EF4-FFF2-40B4-BE49-F238E27FC236}">
              <a16:creationId xmlns:a16="http://schemas.microsoft.com/office/drawing/2014/main" id="{720D295B-D09C-4B57-8C4D-72E535DC6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5525" y="1266825"/>
          <a:ext cx="7572375" cy="451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1400175</xdr:colOff>
      <xdr:row>26</xdr:row>
      <xdr:rowOff>47625</xdr:rowOff>
    </xdr:from>
    <xdr:to>
      <xdr:col>6</xdr:col>
      <xdr:colOff>762000</xdr:colOff>
      <xdr:row>54</xdr:row>
      <xdr:rowOff>47625</xdr:rowOff>
    </xdr:to>
    <xdr:pic>
      <xdr:nvPicPr>
        <xdr:cNvPr id="3" name="Picture 2" descr="https://setis.ec.europa.eu/sites/default/files/info_cogeneration.jpg">
          <a:extLst>
            <a:ext uri="{FF2B5EF4-FFF2-40B4-BE49-F238E27FC236}">
              <a16:creationId xmlns:a16="http://schemas.microsoft.com/office/drawing/2014/main" id="{6068EE80-0742-4504-A8E0-FA53EBE9DC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1775" y="5648325"/>
          <a:ext cx="6400800" cy="56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161925</xdr:colOff>
      <xdr:row>61</xdr:row>
      <xdr:rowOff>95250</xdr:rowOff>
    </xdr:from>
    <xdr:ext cx="7082231" cy="4476750"/>
    <xdr:pic>
      <xdr:nvPicPr>
        <xdr:cNvPr id="4" name="Picture 3" descr="http://i.despiteborders.com/clanky/data/upimages/en_v_texte2-velka.jpg">
          <a:extLst>
            <a:ext uri="{FF2B5EF4-FFF2-40B4-BE49-F238E27FC236}">
              <a16:creationId xmlns:a16="http://schemas.microsoft.com/office/drawing/2014/main" id="{2DD3DB9C-EC9E-45FD-BD51-D64675FF43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33525" y="1095375"/>
          <a:ext cx="7082231" cy="4476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514350</xdr:colOff>
      <xdr:row>2</xdr:row>
      <xdr:rowOff>9525</xdr:rowOff>
    </xdr:from>
    <xdr:to>
      <xdr:col>9</xdr:col>
      <xdr:colOff>476250</xdr:colOff>
      <xdr:row>18</xdr:row>
      <xdr:rowOff>76200</xdr:rowOff>
    </xdr:to>
    <xdr:pic>
      <xdr:nvPicPr>
        <xdr:cNvPr id="4" name="Picture 3" descr="http://www.ipieca.org/media/2392/fig1.png?width=500&amp;height=343.2741116751269">
          <a:extLst>
            <a:ext uri="{FF2B5EF4-FFF2-40B4-BE49-F238E27FC236}">
              <a16:creationId xmlns:a16="http://schemas.microsoft.com/office/drawing/2014/main" id="{8CCD54DE-4627-4CAB-9A87-B66C5263B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409575"/>
          <a:ext cx="4762500"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Usmani, O.A. (Omar)" id="{DBBE00D6-C6B5-42B3-9214-9C988AE1E70F}" userId="S::omar.usmani@tno.nl::9138a46d-5e3b-4a04-8d74-2137b161a14c" providerId="AD"/>
  <person displayName="Niessink, R.J.M. (Robin)" id="{C0CE34A8-E7CB-4707-B06A-20D907BE4459}" userId="S::robin.niessink@tno.nl::2d54aea0-b53a-45da-a79b-d96e895017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33" dT="2018-12-16T21:48:41.15" personId="{C0CE34A8-E7CB-4707-B06A-20D907BE4459}" id="{8AC6D617-72BD-43CD-893C-95E406385FC4}">
    <text xml:space="preserve">The final heat demand for district heating in the built environment was 18 PJ (12 PJ households + 6 PJ non-residential sector) in 2015 (ECN, 2017a). For comparison, final heat demand of the built environment  is 463 PJ in 2015 (ECN, 2017a).
</text>
  </threadedComment>
</ThreadedComments>
</file>

<file path=xl/threadedComments/threadedComment2.xml><?xml version="1.0" encoding="utf-8"?>
<ThreadedComments xmlns="http://schemas.microsoft.com/office/spreadsheetml/2018/threadedcomments" xmlns:x="http://schemas.openxmlformats.org/spreadsheetml/2006/main">
  <threadedComment ref="D15" dT="2022-12-05T16:28:06.04" personId="{DBBE00D6-C6B5-42B3-9214-9C988AE1E70F}" id="{6F54F1DD-75F3-425A-AEEE-D16116D429F9}">
    <text>Used MW instead od MWe (as indicated thorugh comments)</text>
  </threadedComment>
  <threadedComment ref="M33" dT="2018-12-16T21:48:41.15" personId="{C0CE34A8-E7CB-4707-B06A-20D907BE4459}" id="{3F31CAE6-05A8-456D-889F-D1E3B9BCAAE8}">
    <text xml:space="preserve">The final heat demand for district heating in the built environment was 18 PJ (12 PJ households + 6 PJ non-residential sector) in 2015 (ECN, 2017a). For comparison, final heat demand of the built environment  is 463 PJ in 2015 (ECN, 2017a).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http://www.ipieca.org/resources/energy-efficiency-solutions/power-and-heat-generation/combined-cycle-gas-turbines/" TargetMode="External"/><Relationship Id="rId1" Type="http://schemas.openxmlformats.org/officeDocument/2006/relationships/hyperlink" Target="https://nl.wikipedia.org/wiki/Stoom-_en_gascentral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2.xml"/><Relationship Id="rId2" Type="http://schemas.openxmlformats.org/officeDocument/2006/relationships/hyperlink" Target="http://www.ipieca.org/resources/energy-efficiency-solutions/power-and-heat-generation/combined-cycle-gas-turbines/" TargetMode="External"/><Relationship Id="rId1" Type="http://schemas.openxmlformats.org/officeDocument/2006/relationships/hyperlink" Target="https://nl.wikipedia.org/wiki/Stoom-_en_gascentrale"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32"/>
  <sheetViews>
    <sheetView topLeftCell="A85" zoomScale="80" zoomScaleNormal="80" workbookViewId="0">
      <selection activeCell="E69" sqref="E69:E71"/>
    </sheetView>
  </sheetViews>
  <sheetFormatPr defaultColWidth="11" defaultRowHeight="15.75"/>
  <cols>
    <col min="1" max="1" width="11" style="1"/>
    <col min="2" max="2" width="23.875" style="1" customWidth="1"/>
    <col min="3" max="3" width="5.75" style="1" customWidth="1"/>
    <col min="4" max="4" width="77.375" style="1" customWidth="1"/>
    <col min="5" max="5" width="5.75" style="1" customWidth="1"/>
    <col min="6" max="6" width="94.875" style="1" customWidth="1"/>
    <col min="7" max="20" width="11" style="1"/>
    <col min="21" max="21" width="10.875" style="1" customWidth="1"/>
    <col min="22" max="16384" width="11" style="1"/>
  </cols>
  <sheetData>
    <row r="1" spans="1:6" ht="21">
      <c r="A1" s="3" t="s">
        <v>0</v>
      </c>
    </row>
    <row r="3" spans="1:6" ht="15.75" customHeight="1">
      <c r="A3" s="5" t="s">
        <v>1</v>
      </c>
      <c r="B3" s="16" t="s">
        <v>2</v>
      </c>
    </row>
    <row r="4" spans="1:6" ht="15.75" customHeight="1">
      <c r="A4" s="5" t="s">
        <v>1</v>
      </c>
      <c r="B4" s="16" t="s">
        <v>3</v>
      </c>
    </row>
    <row r="5" spans="1:6" ht="15.75" customHeight="1">
      <c r="A5" s="5" t="s">
        <v>1</v>
      </c>
      <c r="B5" s="16" t="s">
        <v>4</v>
      </c>
      <c r="F5" s="39"/>
    </row>
    <row r="6" spans="1:6" ht="15.75" customHeight="1">
      <c r="A6" s="5" t="s">
        <v>1</v>
      </c>
      <c r="B6" s="16" t="s">
        <v>5</v>
      </c>
      <c r="C6" s="4"/>
    </row>
    <row r="7" spans="1:6" ht="15.75" customHeight="1">
      <c r="A7" s="5" t="s">
        <v>1</v>
      </c>
      <c r="B7" s="16" t="s">
        <v>6</v>
      </c>
      <c r="C7" s="4"/>
    </row>
    <row r="8" spans="1:6" ht="15.75" customHeight="1">
      <c r="A8" s="5" t="s">
        <v>1</v>
      </c>
      <c r="B8" s="16" t="s">
        <v>7</v>
      </c>
      <c r="C8" s="4"/>
    </row>
    <row r="9" spans="1:6" ht="15.75" customHeight="1">
      <c r="A9" s="5" t="s">
        <v>1</v>
      </c>
      <c r="B9" s="16" t="s">
        <v>8</v>
      </c>
      <c r="C9" s="4"/>
    </row>
    <row r="10" spans="1:6" ht="15.75" customHeight="1">
      <c r="A10" s="5" t="s">
        <v>1</v>
      </c>
      <c r="B10" s="16" t="s">
        <v>9</v>
      </c>
      <c r="C10" s="4"/>
    </row>
    <row r="11" spans="1:6" ht="21">
      <c r="A11" s="3"/>
      <c r="B11" s="2"/>
      <c r="C11" s="2"/>
    </row>
    <row r="12" spans="1:6" ht="18.75">
      <c r="B12" s="54" t="s">
        <v>10</v>
      </c>
      <c r="C12" s="173" t="s">
        <v>11</v>
      </c>
      <c r="D12" s="174"/>
      <c r="E12" s="173" t="s">
        <v>12</v>
      </c>
      <c r="F12" s="175"/>
    </row>
    <row r="13" spans="1:6" ht="15.75" customHeight="1">
      <c r="B13" s="180" t="s">
        <v>13</v>
      </c>
      <c r="C13" s="36" t="s">
        <v>1</v>
      </c>
      <c r="D13" s="37" t="s">
        <v>14</v>
      </c>
      <c r="E13" s="22" t="s">
        <v>1</v>
      </c>
      <c r="F13" s="25" t="s">
        <v>15</v>
      </c>
    </row>
    <row r="14" spans="1:6" ht="15.75" customHeight="1">
      <c r="B14" s="181"/>
      <c r="C14" s="46"/>
      <c r="D14" s="30"/>
      <c r="E14" s="47" t="s">
        <v>1</v>
      </c>
      <c r="F14" s="53" t="s">
        <v>16</v>
      </c>
    </row>
    <row r="15" spans="1:6" ht="15.75" customHeight="1">
      <c r="B15" s="21" t="s">
        <v>17</v>
      </c>
      <c r="C15" s="11" t="s">
        <v>1</v>
      </c>
      <c r="D15" s="40" t="s">
        <v>18</v>
      </c>
      <c r="E15" s="83"/>
      <c r="F15" s="80"/>
    </row>
    <row r="16" spans="1:6" ht="31.5">
      <c r="B16" s="157" t="s">
        <v>19</v>
      </c>
      <c r="C16" s="36" t="s">
        <v>1</v>
      </c>
      <c r="D16" s="44" t="s">
        <v>20</v>
      </c>
      <c r="E16" s="34" t="s">
        <v>1</v>
      </c>
      <c r="F16" s="84" t="s">
        <v>21</v>
      </c>
    </row>
    <row r="17" spans="2:16" ht="15.75" customHeight="1">
      <c r="B17" s="155" t="s">
        <v>22</v>
      </c>
      <c r="C17" s="36" t="s">
        <v>1</v>
      </c>
      <c r="D17" s="41" t="s">
        <v>23</v>
      </c>
      <c r="E17" s="36" t="s">
        <v>1</v>
      </c>
      <c r="F17" s="18" t="s">
        <v>24</v>
      </c>
    </row>
    <row r="18" spans="2:16" ht="15.75" customHeight="1">
      <c r="B18" s="182" t="s">
        <v>25</v>
      </c>
      <c r="C18" s="11" t="s">
        <v>1</v>
      </c>
      <c r="D18" s="41" t="s">
        <v>26</v>
      </c>
      <c r="E18" s="36" t="s">
        <v>1</v>
      </c>
      <c r="F18" s="18" t="s">
        <v>27</v>
      </c>
    </row>
    <row r="19" spans="2:16" ht="15.75" customHeight="1">
      <c r="B19" s="183"/>
      <c r="C19" s="12"/>
      <c r="D19" s="42"/>
      <c r="E19" s="45"/>
      <c r="F19" s="28"/>
    </row>
    <row r="20" spans="2:16" ht="15.75" customHeight="1">
      <c r="B20" s="183"/>
      <c r="C20" s="20"/>
      <c r="D20" s="43" t="s">
        <v>28</v>
      </c>
      <c r="E20" s="45"/>
      <c r="F20" s="28"/>
    </row>
    <row r="21" spans="2:16" ht="15.75" customHeight="1">
      <c r="B21" s="183"/>
      <c r="C21" s="20" t="s">
        <v>29</v>
      </c>
      <c r="D21" s="42" t="s">
        <v>30</v>
      </c>
      <c r="E21" s="45"/>
      <c r="F21" s="28"/>
    </row>
    <row r="22" spans="2:16" ht="15.75" customHeight="1">
      <c r="B22" s="183"/>
      <c r="C22" s="20" t="s">
        <v>31</v>
      </c>
      <c r="D22" s="42" t="s">
        <v>32</v>
      </c>
      <c r="E22" s="45"/>
      <c r="F22" s="28"/>
    </row>
    <row r="23" spans="2:16" ht="15.75" customHeight="1">
      <c r="B23" s="183"/>
      <c r="C23" s="20" t="s">
        <v>33</v>
      </c>
      <c r="D23" s="42" t="s">
        <v>34</v>
      </c>
      <c r="E23" s="45"/>
      <c r="F23" s="28"/>
    </row>
    <row r="24" spans="2:16" ht="15.75" customHeight="1">
      <c r="B24" s="183"/>
      <c r="C24" s="20" t="s">
        <v>35</v>
      </c>
      <c r="D24" s="42" t="s">
        <v>36</v>
      </c>
      <c r="E24" s="45"/>
      <c r="F24" s="28"/>
    </row>
    <row r="25" spans="2:16" ht="15.75" customHeight="1">
      <c r="B25" s="183"/>
      <c r="C25" s="20" t="s">
        <v>37</v>
      </c>
      <c r="D25" s="42" t="s">
        <v>38</v>
      </c>
      <c r="E25" s="45"/>
      <c r="F25" s="28"/>
    </row>
    <row r="26" spans="2:16" ht="15.75" customHeight="1">
      <c r="B26" s="183"/>
      <c r="C26" s="20" t="s">
        <v>39</v>
      </c>
      <c r="D26" s="42" t="s">
        <v>40</v>
      </c>
      <c r="E26" s="45"/>
      <c r="F26" s="28"/>
    </row>
    <row r="27" spans="2:16" ht="15.75" customHeight="1">
      <c r="B27" s="183"/>
      <c r="C27" s="20" t="s">
        <v>41</v>
      </c>
      <c r="D27" s="42" t="s">
        <v>42</v>
      </c>
      <c r="E27" s="45"/>
      <c r="F27" s="28"/>
    </row>
    <row r="28" spans="2:16" ht="15.75" customHeight="1">
      <c r="B28" s="183"/>
      <c r="C28" s="20" t="s">
        <v>43</v>
      </c>
      <c r="D28" s="42" t="s">
        <v>44</v>
      </c>
      <c r="E28" s="45"/>
      <c r="F28" s="28"/>
    </row>
    <row r="29" spans="2:16" ht="15.75" customHeight="1">
      <c r="B29" s="183"/>
      <c r="C29" s="20" t="s">
        <v>45</v>
      </c>
      <c r="D29" s="42" t="s">
        <v>46</v>
      </c>
      <c r="E29" s="46"/>
      <c r="F29" s="30"/>
    </row>
    <row r="30" spans="2:16" ht="18.75">
      <c r="B30" s="169" t="s">
        <v>47</v>
      </c>
      <c r="C30" s="170"/>
      <c r="D30" s="170"/>
      <c r="E30" s="170"/>
      <c r="F30" s="176"/>
      <c r="G30" s="7"/>
      <c r="H30" s="7"/>
      <c r="I30" s="7"/>
      <c r="J30" s="7"/>
      <c r="K30" s="7"/>
      <c r="L30" s="7"/>
      <c r="M30" s="7"/>
      <c r="N30" s="7"/>
      <c r="O30" s="7"/>
      <c r="P30" s="7"/>
    </row>
    <row r="31" spans="2:16" ht="31.5">
      <c r="B31" s="184" t="s">
        <v>48</v>
      </c>
      <c r="C31" s="36" t="s">
        <v>1</v>
      </c>
      <c r="D31" s="37" t="s">
        <v>49</v>
      </c>
      <c r="E31" s="36" t="s">
        <v>1</v>
      </c>
      <c r="F31" s="18" t="s">
        <v>50</v>
      </c>
    </row>
    <row r="32" spans="2:16" ht="33.75" customHeight="1">
      <c r="B32" s="185"/>
      <c r="C32" s="47"/>
      <c r="D32" s="85"/>
      <c r="E32" s="22" t="s">
        <v>1</v>
      </c>
      <c r="F32" s="19" t="s">
        <v>51</v>
      </c>
    </row>
    <row r="33" spans="2:16">
      <c r="B33" s="186" t="s">
        <v>52</v>
      </c>
      <c r="C33" s="36" t="s">
        <v>1</v>
      </c>
      <c r="D33" s="44" t="s">
        <v>53</v>
      </c>
      <c r="E33" s="36" t="s">
        <v>1</v>
      </c>
      <c r="F33" s="8" t="s">
        <v>54</v>
      </c>
    </row>
    <row r="34" spans="2:16" ht="31.5">
      <c r="B34" s="187"/>
      <c r="C34" s="12"/>
      <c r="D34" s="99"/>
      <c r="E34" s="22" t="s">
        <v>1</v>
      </c>
      <c r="F34" s="9" t="s">
        <v>55</v>
      </c>
    </row>
    <row r="35" spans="2:16">
      <c r="B35" s="153"/>
      <c r="C35" s="12"/>
      <c r="D35" s="99"/>
      <c r="E35" s="13" t="s">
        <v>1</v>
      </c>
      <c r="F35" s="10" t="s">
        <v>56</v>
      </c>
    </row>
    <row r="36" spans="2:16" ht="31.5">
      <c r="B36" s="152" t="s">
        <v>57</v>
      </c>
      <c r="C36" s="36" t="s">
        <v>1</v>
      </c>
      <c r="D36" s="37" t="s">
        <v>58</v>
      </c>
      <c r="E36" s="22" t="s">
        <v>1</v>
      </c>
      <c r="F36" s="9" t="s">
        <v>59</v>
      </c>
    </row>
    <row r="37" spans="2:16">
      <c r="B37" s="153"/>
      <c r="C37" s="47"/>
      <c r="D37" s="51"/>
      <c r="E37" s="13" t="s">
        <v>1</v>
      </c>
      <c r="F37" s="10" t="s">
        <v>60</v>
      </c>
    </row>
    <row r="38" spans="2:16" ht="15.75" customHeight="1">
      <c r="B38" s="186" t="s">
        <v>61</v>
      </c>
      <c r="C38" s="12" t="s">
        <v>1</v>
      </c>
      <c r="D38" s="39" t="s">
        <v>62</v>
      </c>
      <c r="E38" s="12" t="s">
        <v>1</v>
      </c>
      <c r="F38" s="88" t="s">
        <v>63</v>
      </c>
    </row>
    <row r="39" spans="2:16" ht="31.5">
      <c r="B39" s="187"/>
      <c r="C39" s="22" t="s">
        <v>1</v>
      </c>
      <c r="D39" s="82" t="s">
        <v>64</v>
      </c>
      <c r="E39" s="22" t="s">
        <v>1</v>
      </c>
      <c r="F39" s="9" t="s">
        <v>65</v>
      </c>
    </row>
    <row r="40" spans="2:16" ht="34.5" customHeight="1">
      <c r="B40" s="21" t="s">
        <v>66</v>
      </c>
      <c r="C40" s="34" t="s">
        <v>1</v>
      </c>
      <c r="D40" s="81" t="s">
        <v>67</v>
      </c>
      <c r="E40" s="34" t="s">
        <v>1</v>
      </c>
      <c r="F40" s="80" t="s">
        <v>68</v>
      </c>
    </row>
    <row r="41" spans="2:16" ht="31.5">
      <c r="B41" s="50" t="s">
        <v>69</v>
      </c>
      <c r="C41" s="36" t="s">
        <v>1</v>
      </c>
      <c r="D41" s="44" t="s">
        <v>70</v>
      </c>
      <c r="E41" s="114"/>
      <c r="F41" s="115"/>
    </row>
    <row r="42" spans="2:16">
      <c r="B42" s="116" t="s">
        <v>71</v>
      </c>
      <c r="C42" s="11" t="s">
        <v>1</v>
      </c>
      <c r="D42" s="44" t="s">
        <v>72</v>
      </c>
      <c r="E42" s="36" t="s">
        <v>1</v>
      </c>
      <c r="F42" s="8" t="s">
        <v>73</v>
      </c>
    </row>
    <row r="43" spans="2:16">
      <c r="B43" s="180" t="s">
        <v>74</v>
      </c>
      <c r="C43" s="36" t="s">
        <v>1</v>
      </c>
      <c r="D43" s="44" t="s">
        <v>75</v>
      </c>
      <c r="E43" s="36" t="s">
        <v>1</v>
      </c>
      <c r="F43" s="8" t="s">
        <v>76</v>
      </c>
    </row>
    <row r="44" spans="2:16">
      <c r="B44" s="181"/>
      <c r="C44" s="47" t="s">
        <v>1</v>
      </c>
      <c r="D44" s="113" t="s">
        <v>77</v>
      </c>
      <c r="E44" s="47" t="s">
        <v>1</v>
      </c>
      <c r="F44" s="118" t="s">
        <v>78</v>
      </c>
    </row>
    <row r="45" spans="2:16" ht="31.5">
      <c r="B45" s="21" t="s">
        <v>79</v>
      </c>
      <c r="C45" s="22" t="s">
        <v>1</v>
      </c>
      <c r="D45" s="39" t="s">
        <v>80</v>
      </c>
      <c r="E45" s="46"/>
      <c r="F45" s="30"/>
    </row>
    <row r="46" spans="2:16" ht="243" customHeight="1">
      <c r="B46" s="50" t="s">
        <v>81</v>
      </c>
      <c r="C46" s="36" t="s">
        <v>1</v>
      </c>
      <c r="D46" s="44" t="s">
        <v>82</v>
      </c>
      <c r="E46" s="45"/>
      <c r="F46" s="28"/>
      <c r="G46" s="103"/>
    </row>
    <row r="47" spans="2:16" ht="15.75" customHeight="1">
      <c r="B47" s="152" t="s">
        <v>83</v>
      </c>
      <c r="C47" s="11" t="s">
        <v>1</v>
      </c>
      <c r="D47" s="40" t="s">
        <v>84</v>
      </c>
      <c r="E47" s="14" t="s">
        <v>1</v>
      </c>
      <c r="F47" s="48" t="s">
        <v>85</v>
      </c>
      <c r="G47" s="103"/>
    </row>
    <row r="48" spans="2:16" ht="18.75">
      <c r="B48" s="177" t="s">
        <v>86</v>
      </c>
      <c r="C48" s="178"/>
      <c r="D48" s="178"/>
      <c r="E48" s="178"/>
      <c r="F48" s="179"/>
      <c r="G48" s="7"/>
      <c r="H48" s="7"/>
      <c r="I48" s="7"/>
      <c r="J48" s="7"/>
      <c r="K48" s="7"/>
      <c r="L48" s="7"/>
      <c r="M48" s="7"/>
      <c r="N48" s="7"/>
      <c r="O48" s="7"/>
      <c r="P48" s="7"/>
    </row>
    <row r="49" spans="2:16" ht="31.5">
      <c r="B49" s="93" t="s">
        <v>87</v>
      </c>
      <c r="C49" s="36" t="s">
        <v>1</v>
      </c>
      <c r="D49" s="44" t="s">
        <v>88</v>
      </c>
      <c r="E49" s="34" t="s">
        <v>1</v>
      </c>
      <c r="F49" s="92" t="s">
        <v>89</v>
      </c>
    </row>
    <row r="50" spans="2:16" ht="31.5">
      <c r="B50" s="184" t="s">
        <v>90</v>
      </c>
      <c r="C50" s="36" t="s">
        <v>1</v>
      </c>
      <c r="D50" s="23" t="s">
        <v>91</v>
      </c>
      <c r="E50" s="52" t="s">
        <v>1</v>
      </c>
      <c r="F50" s="37" t="s">
        <v>92</v>
      </c>
    </row>
    <row r="51" spans="2:16" ht="15.75" customHeight="1">
      <c r="B51" s="185"/>
      <c r="C51" s="22" t="s">
        <v>1</v>
      </c>
      <c r="D51" s="188" t="s">
        <v>93</v>
      </c>
      <c r="E51" s="119" t="s">
        <v>1</v>
      </c>
      <c r="F51" s="1" t="s">
        <v>94</v>
      </c>
    </row>
    <row r="52" spans="2:16" ht="33" customHeight="1">
      <c r="B52" s="154"/>
      <c r="C52" s="47"/>
      <c r="D52" s="189"/>
      <c r="E52" s="119" t="s">
        <v>1</v>
      </c>
      <c r="F52" s="117" t="s">
        <v>95</v>
      </c>
    </row>
    <row r="53" spans="2:16" ht="15.75" customHeight="1">
      <c r="B53" s="182" t="s">
        <v>96</v>
      </c>
      <c r="C53" s="12" t="s">
        <v>1</v>
      </c>
      <c r="D53" s="193" t="s">
        <v>97</v>
      </c>
      <c r="E53" s="36" t="s">
        <v>1</v>
      </c>
      <c r="F53" s="8" t="s">
        <v>98</v>
      </c>
    </row>
    <row r="54" spans="2:16">
      <c r="B54" s="183"/>
      <c r="D54" s="193"/>
      <c r="E54" s="12" t="s">
        <v>1</v>
      </c>
      <c r="F54" s="9" t="s">
        <v>99</v>
      </c>
    </row>
    <row r="55" spans="2:16">
      <c r="B55" s="192"/>
      <c r="E55" s="46"/>
      <c r="F55" s="30"/>
    </row>
    <row r="56" spans="2:16" ht="31.5">
      <c r="B56" s="155" t="s">
        <v>100</v>
      </c>
      <c r="C56" s="36" t="s">
        <v>1</v>
      </c>
      <c r="D56" s="44" t="s">
        <v>101</v>
      </c>
      <c r="E56" s="36" t="s">
        <v>1</v>
      </c>
      <c r="F56" s="37" t="s">
        <v>99</v>
      </c>
    </row>
    <row r="57" spans="2:16" ht="40.5" customHeight="1">
      <c r="B57" s="155" t="s">
        <v>102</v>
      </c>
      <c r="C57" s="34" t="s">
        <v>1</v>
      </c>
      <c r="D57" s="84" t="s">
        <v>103</v>
      </c>
      <c r="E57" s="14" t="s">
        <v>1</v>
      </c>
      <c r="F57" s="48" t="s">
        <v>99</v>
      </c>
    </row>
    <row r="58" spans="2:16" ht="18.75">
      <c r="B58" s="169" t="s">
        <v>104</v>
      </c>
      <c r="C58" s="170"/>
      <c r="D58" s="170"/>
      <c r="E58" s="170"/>
      <c r="F58" s="176"/>
      <c r="G58" s="7"/>
      <c r="H58" s="7"/>
      <c r="I58" s="7"/>
      <c r="J58" s="7"/>
      <c r="K58" s="7"/>
      <c r="L58" s="7"/>
      <c r="M58" s="7"/>
      <c r="N58" s="7"/>
      <c r="O58" s="7"/>
      <c r="P58" s="7"/>
    </row>
    <row r="59" spans="2:16" ht="31.5">
      <c r="B59" s="185" t="s">
        <v>105</v>
      </c>
      <c r="C59" s="22" t="s">
        <v>1</v>
      </c>
      <c r="D59" s="42" t="s">
        <v>106</v>
      </c>
      <c r="E59" s="22" t="s">
        <v>1</v>
      </c>
      <c r="F59" s="96" t="s">
        <v>107</v>
      </c>
      <c r="H59" s="94"/>
    </row>
    <row r="60" spans="2:16" ht="63">
      <c r="B60" s="185"/>
      <c r="C60" s="22" t="s">
        <v>1</v>
      </c>
      <c r="D60" s="42" t="s">
        <v>108</v>
      </c>
      <c r="E60" s="22" t="s">
        <v>1</v>
      </c>
      <c r="F60" s="96" t="s">
        <v>109</v>
      </c>
      <c r="H60" s="95"/>
    </row>
    <row r="61" spans="2:16" ht="31.5">
      <c r="B61" s="185"/>
      <c r="C61" s="22"/>
      <c r="E61" s="47" t="s">
        <v>1</v>
      </c>
      <c r="F61" s="17" t="s">
        <v>110</v>
      </c>
    </row>
    <row r="62" spans="2:16" ht="18.75">
      <c r="B62" s="169" t="s">
        <v>111</v>
      </c>
      <c r="C62" s="170"/>
      <c r="D62" s="170"/>
      <c r="E62" s="170"/>
      <c r="F62" s="176"/>
      <c r="G62" s="7"/>
      <c r="H62" s="7"/>
      <c r="I62" s="7"/>
      <c r="J62" s="7"/>
      <c r="K62" s="7"/>
      <c r="L62" s="7"/>
      <c r="M62" s="7"/>
      <c r="N62" s="7"/>
      <c r="O62" s="7"/>
      <c r="P62" s="7"/>
    </row>
    <row r="63" spans="2:16" ht="47.25">
      <c r="B63" s="154" t="s">
        <v>112</v>
      </c>
      <c r="C63" s="22" t="s">
        <v>1</v>
      </c>
      <c r="D63" s="111" t="s">
        <v>113</v>
      </c>
      <c r="E63" s="34" t="s">
        <v>1</v>
      </c>
      <c r="F63" s="49" t="s">
        <v>114</v>
      </c>
    </row>
    <row r="64" spans="2:16" ht="15.75" customHeight="1">
      <c r="B64" s="177" t="s">
        <v>115</v>
      </c>
      <c r="C64" s="178"/>
      <c r="D64" s="178"/>
      <c r="E64" s="178"/>
      <c r="F64" s="179"/>
      <c r="G64" s="7"/>
      <c r="H64" s="7"/>
      <c r="I64" s="7"/>
      <c r="J64" s="7"/>
      <c r="K64" s="7"/>
      <c r="L64" s="7"/>
      <c r="M64" s="7"/>
      <c r="N64" s="7"/>
      <c r="O64" s="7"/>
      <c r="P64" s="7"/>
    </row>
    <row r="65" spans="2:16" ht="31.5">
      <c r="B65" s="184" t="s">
        <v>116</v>
      </c>
      <c r="C65" s="36" t="s">
        <v>1</v>
      </c>
      <c r="D65" s="41" t="s">
        <v>117</v>
      </c>
      <c r="E65" s="36" t="s">
        <v>1</v>
      </c>
      <c r="F65" s="18" t="s">
        <v>118</v>
      </c>
    </row>
    <row r="66" spans="2:16" ht="31.5">
      <c r="B66" s="185"/>
      <c r="C66" s="45"/>
      <c r="E66" s="47" t="s">
        <v>1</v>
      </c>
      <c r="F66" s="17" t="s">
        <v>119</v>
      </c>
    </row>
    <row r="67" spans="2:16" ht="18.75">
      <c r="B67" s="169" t="s">
        <v>120</v>
      </c>
      <c r="C67" s="170"/>
      <c r="D67" s="170"/>
      <c r="E67" s="178"/>
      <c r="F67" s="179"/>
    </row>
    <row r="68" spans="2:16" ht="31.5">
      <c r="B68" s="155" t="s">
        <v>121</v>
      </c>
      <c r="C68" s="36" t="s">
        <v>1</v>
      </c>
      <c r="D68" s="37" t="s">
        <v>122</v>
      </c>
      <c r="E68" s="36" t="s">
        <v>1</v>
      </c>
      <c r="F68" s="18" t="s">
        <v>123</v>
      </c>
    </row>
    <row r="69" spans="2:16" ht="47.25">
      <c r="B69" s="156"/>
      <c r="C69" s="47"/>
      <c r="D69" s="53"/>
      <c r="E69" s="47" t="s">
        <v>1</v>
      </c>
      <c r="F69" s="17" t="s">
        <v>124</v>
      </c>
    </row>
    <row r="70" spans="2:16" ht="15.75" customHeight="1">
      <c r="B70" s="169" t="s">
        <v>125</v>
      </c>
      <c r="C70" s="170"/>
      <c r="D70" s="170"/>
      <c r="E70" s="171"/>
      <c r="F70" s="172"/>
    </row>
    <row r="71" spans="2:16" ht="31.5" customHeight="1">
      <c r="B71" s="34" t="s">
        <v>1</v>
      </c>
      <c r="C71" s="190" t="s">
        <v>126</v>
      </c>
      <c r="D71" s="190"/>
      <c r="E71" s="190"/>
      <c r="F71" s="191"/>
    </row>
    <row r="72" spans="2:16">
      <c r="B72" s="34" t="s">
        <v>1</v>
      </c>
      <c r="C72" s="190" t="s">
        <v>127</v>
      </c>
      <c r="D72" s="190"/>
      <c r="E72" s="190"/>
      <c r="F72" s="191"/>
    </row>
    <row r="73" spans="2:16">
      <c r="B73" s="6"/>
      <c r="C73" s="6"/>
      <c r="D73" s="6"/>
    </row>
    <row r="74" spans="2:16" ht="18.75">
      <c r="B74" s="173" t="s">
        <v>128</v>
      </c>
      <c r="C74" s="174"/>
      <c r="D74" s="175"/>
    </row>
    <row r="75" spans="2:16">
      <c r="B75" s="31" t="s">
        <v>129</v>
      </c>
      <c r="C75" s="27"/>
      <c r="D75" s="8" t="s">
        <v>130</v>
      </c>
    </row>
    <row r="76" spans="2:16" ht="15.75" customHeight="1">
      <c r="B76" s="32" t="s">
        <v>131</v>
      </c>
      <c r="C76" s="26"/>
      <c r="D76" s="19" t="s">
        <v>132</v>
      </c>
    </row>
    <row r="77" spans="2:16">
      <c r="B77" s="32" t="s">
        <v>133</v>
      </c>
      <c r="C77" s="6"/>
      <c r="D77" s="24" t="s">
        <v>134</v>
      </c>
    </row>
    <row r="78" spans="2:16">
      <c r="B78" s="32" t="s">
        <v>135</v>
      </c>
      <c r="C78" s="7"/>
      <c r="D78" s="24" t="s">
        <v>136</v>
      </c>
      <c r="E78" s="7"/>
      <c r="G78" s="7"/>
      <c r="H78" s="7"/>
      <c r="I78" s="7"/>
      <c r="J78" s="7"/>
      <c r="K78" s="7"/>
      <c r="L78" s="7"/>
      <c r="M78" s="7"/>
      <c r="N78" s="7"/>
      <c r="O78" s="7"/>
      <c r="P78" s="7"/>
    </row>
    <row r="79" spans="2:16">
      <c r="B79" s="32" t="s">
        <v>137</v>
      </c>
      <c r="C79" s="6"/>
      <c r="D79" s="24" t="s">
        <v>138</v>
      </c>
    </row>
    <row r="80" spans="2:16">
      <c r="B80" s="32" t="s">
        <v>139</v>
      </c>
      <c r="C80" s="6"/>
      <c r="D80" s="24" t="s">
        <v>140</v>
      </c>
    </row>
    <row r="81" spans="2:16" ht="15.75" customHeight="1">
      <c r="B81" s="32" t="s">
        <v>141</v>
      </c>
      <c r="C81" s="7"/>
      <c r="D81" s="24" t="s">
        <v>142</v>
      </c>
      <c r="E81" s="7"/>
      <c r="F81" s="7"/>
      <c r="G81" s="7"/>
      <c r="H81" s="7"/>
      <c r="I81" s="7"/>
      <c r="J81" s="7"/>
      <c r="K81" s="7"/>
      <c r="L81" s="7"/>
      <c r="M81" s="7"/>
      <c r="N81" s="7"/>
      <c r="O81" s="7"/>
      <c r="P81" s="7"/>
    </row>
    <row r="82" spans="2:16" ht="18.75">
      <c r="B82" s="108" t="s">
        <v>143</v>
      </c>
      <c r="C82" s="109"/>
      <c r="D82" s="110" t="s">
        <v>144</v>
      </c>
    </row>
    <row r="83" spans="2:16">
      <c r="B83" s="33" t="s">
        <v>145</v>
      </c>
      <c r="C83" s="29"/>
      <c r="D83" s="30" t="s">
        <v>146</v>
      </c>
    </row>
    <row r="86" spans="2:16" ht="18.75">
      <c r="B86" s="173" t="s">
        <v>147</v>
      </c>
      <c r="C86" s="174"/>
      <c r="D86" s="175"/>
    </row>
    <row r="87" spans="2:16" ht="15.75" customHeight="1">
      <c r="B87" s="166" t="s">
        <v>148</v>
      </c>
      <c r="C87" s="27"/>
      <c r="D87" s="56" t="s">
        <v>149</v>
      </c>
    </row>
    <row r="88" spans="2:16" ht="15.75" customHeight="1">
      <c r="B88" s="167"/>
      <c r="C88" s="26"/>
      <c r="D88" s="57" t="s">
        <v>150</v>
      </c>
    </row>
    <row r="89" spans="2:16" ht="15.75" customHeight="1">
      <c r="B89" s="167"/>
      <c r="C89" s="6"/>
      <c r="D89" s="57" t="s">
        <v>151</v>
      </c>
    </row>
    <row r="90" spans="2:16" ht="15.75" customHeight="1">
      <c r="B90" s="167"/>
      <c r="C90" s="7"/>
      <c r="D90" s="57" t="s">
        <v>152</v>
      </c>
    </row>
    <row r="91" spans="2:16" ht="15.75" customHeight="1">
      <c r="B91" s="167"/>
      <c r="C91" s="6"/>
      <c r="D91" s="57" t="s">
        <v>153</v>
      </c>
    </row>
    <row r="92" spans="2:16" ht="15.75" customHeight="1">
      <c r="B92" s="167"/>
      <c r="C92" s="6"/>
      <c r="D92" s="57" t="s">
        <v>154</v>
      </c>
    </row>
    <row r="93" spans="2:16" ht="15.75" customHeight="1">
      <c r="B93" s="168"/>
      <c r="C93" s="55"/>
      <c r="D93" s="58" t="s">
        <v>155</v>
      </c>
    </row>
    <row r="94" spans="2:16" ht="31.5">
      <c r="B94" s="59" t="s">
        <v>156</v>
      </c>
      <c r="C94" s="60"/>
      <c r="D94" s="61" t="s">
        <v>157</v>
      </c>
    </row>
    <row r="95" spans="2:16" ht="15.75" customHeight="1">
      <c r="B95" s="33"/>
      <c r="C95" s="62"/>
      <c r="D95" s="63" t="s">
        <v>158</v>
      </c>
    </row>
    <row r="96" spans="2:16" ht="31.5">
      <c r="B96" s="166" t="s">
        <v>159</v>
      </c>
      <c r="C96" s="36" t="s">
        <v>1</v>
      </c>
      <c r="D96" s="61" t="s">
        <v>160</v>
      </c>
    </row>
    <row r="97" spans="2:4" ht="47.25">
      <c r="B97" s="167"/>
      <c r="C97" s="22" t="s">
        <v>1</v>
      </c>
      <c r="D97" s="64" t="s">
        <v>161</v>
      </c>
    </row>
    <row r="98" spans="2:4">
      <c r="B98" s="167"/>
      <c r="C98" s="22"/>
      <c r="D98" s="70"/>
    </row>
    <row r="99" spans="2:4">
      <c r="B99" s="167"/>
      <c r="C99" s="68" t="s">
        <v>162</v>
      </c>
      <c r="D99" s="28"/>
    </row>
    <row r="100" spans="2:4">
      <c r="B100" s="167"/>
      <c r="C100" s="45"/>
      <c r="D100" s="65" t="s">
        <v>163</v>
      </c>
    </row>
    <row r="101" spans="2:4">
      <c r="B101" s="167"/>
      <c r="C101" s="66">
        <v>2010</v>
      </c>
      <c r="D101" s="67">
        <v>92.05</v>
      </c>
    </row>
    <row r="102" spans="2:4">
      <c r="B102" s="167"/>
      <c r="C102" s="66">
        <v>2011</v>
      </c>
      <c r="D102" s="67">
        <v>94.32</v>
      </c>
    </row>
    <row r="103" spans="2:4">
      <c r="B103" s="167"/>
      <c r="C103" s="66">
        <v>2012</v>
      </c>
      <c r="D103" s="67">
        <v>96.99</v>
      </c>
    </row>
    <row r="104" spans="2:4">
      <c r="B104" s="167"/>
      <c r="C104" s="66">
        <v>2013</v>
      </c>
      <c r="D104" s="67">
        <v>99.47</v>
      </c>
    </row>
    <row r="105" spans="2:4">
      <c r="B105" s="167"/>
      <c r="C105" s="66">
        <v>2014</v>
      </c>
      <c r="D105" s="67">
        <v>99.79</v>
      </c>
    </row>
    <row r="106" spans="2:4">
      <c r="B106" s="167"/>
      <c r="C106" s="66">
        <v>2015</v>
      </c>
      <c r="D106" s="67">
        <v>100</v>
      </c>
    </row>
    <row r="107" spans="2:4">
      <c r="B107" s="167"/>
      <c r="C107" s="66">
        <v>2016</v>
      </c>
      <c r="D107" s="67">
        <v>100.11</v>
      </c>
    </row>
    <row r="108" spans="2:4">
      <c r="B108" s="167"/>
      <c r="C108" s="66">
        <v>2017</v>
      </c>
      <c r="D108" s="67">
        <v>101.4</v>
      </c>
    </row>
    <row r="109" spans="2:4">
      <c r="B109" s="168"/>
      <c r="C109" s="69" t="s">
        <v>164</v>
      </c>
      <c r="D109" s="30"/>
    </row>
    <row r="130" ht="18" customHeight="1"/>
    <row r="131" ht="18" customHeight="1"/>
    <row r="132" ht="18" customHeight="1"/>
  </sheetData>
  <mergeCells count="27">
    <mergeCell ref="B43:B44"/>
    <mergeCell ref="D51:D52"/>
    <mergeCell ref="C71:F71"/>
    <mergeCell ref="C72:F72"/>
    <mergeCell ref="B65:B66"/>
    <mergeCell ref="B59:B61"/>
    <mergeCell ref="B50:B51"/>
    <mergeCell ref="B53:B55"/>
    <mergeCell ref="B64:F64"/>
    <mergeCell ref="B67:F67"/>
    <mergeCell ref="D53:D54"/>
    <mergeCell ref="B87:B93"/>
    <mergeCell ref="B96:B109"/>
    <mergeCell ref="B70:F70"/>
    <mergeCell ref="B86:D86"/>
    <mergeCell ref="E12:F12"/>
    <mergeCell ref="B30:F30"/>
    <mergeCell ref="B48:F48"/>
    <mergeCell ref="B58:F58"/>
    <mergeCell ref="B62:F62"/>
    <mergeCell ref="B13:B14"/>
    <mergeCell ref="C12:D12"/>
    <mergeCell ref="B18:B29"/>
    <mergeCell ref="B31:B32"/>
    <mergeCell ref="B33:B34"/>
    <mergeCell ref="B74:D74"/>
    <mergeCell ref="B38:B39"/>
  </mergeCells>
  <hyperlinks>
    <hyperlink ref="D95"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FA18F-F593-49F2-865C-09F8E1B04583}">
  <sheetPr>
    <tabColor theme="7" tint="0.59999389629810485"/>
    <pageSetUpPr fitToPage="1"/>
  </sheetPr>
  <dimension ref="A1:BA103"/>
  <sheetViews>
    <sheetView topLeftCell="A10" zoomScale="68" zoomScaleNormal="68" workbookViewId="0">
      <selection activeCell="E69" sqref="E69:E71"/>
    </sheetView>
  </sheetViews>
  <sheetFormatPr defaultColWidth="11" defaultRowHeight="15"/>
  <cols>
    <col min="1" max="1" width="4.5" style="71" customWidth="1"/>
    <col min="2" max="2" width="11" style="71"/>
    <col min="3" max="3" width="27.625" style="71" customWidth="1"/>
    <col min="4" max="5" width="12.5" style="71" customWidth="1"/>
    <col min="6" max="6" width="18.5" style="71" customWidth="1"/>
    <col min="7" max="21" width="12.5" style="71" customWidth="1"/>
    <col min="22" max="51" width="11" style="71"/>
    <col min="52" max="52" width="101.375" style="105" hidden="1" customWidth="1"/>
    <col min="53" max="53" width="182" style="105" hidden="1" customWidth="1"/>
    <col min="54" max="16384" width="11" style="71"/>
  </cols>
  <sheetData>
    <row r="1" spans="1:52" ht="21">
      <c r="A1" s="3" t="s">
        <v>165</v>
      </c>
      <c r="B1" s="128"/>
      <c r="C1" s="128"/>
      <c r="D1" s="97"/>
      <c r="E1" s="128"/>
      <c r="F1" s="128"/>
      <c r="G1" s="128"/>
      <c r="H1" s="128"/>
      <c r="I1" s="128"/>
      <c r="J1" s="128"/>
      <c r="K1" s="128"/>
      <c r="L1" s="128"/>
      <c r="M1" s="128"/>
      <c r="N1" s="128"/>
      <c r="O1" s="128"/>
      <c r="P1" s="128"/>
      <c r="Q1" s="128"/>
      <c r="R1" s="128"/>
      <c r="S1" s="128"/>
      <c r="T1" s="128"/>
      <c r="U1" s="128"/>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row>
    <row r="2" spans="1:52">
      <c r="A2" s="97" t="s">
        <v>166</v>
      </c>
      <c r="B2" s="128"/>
      <c r="C2" s="128"/>
      <c r="D2" s="97"/>
      <c r="E2" s="128"/>
      <c r="F2" s="128"/>
      <c r="G2" s="128"/>
      <c r="H2" s="128"/>
      <c r="I2" s="128"/>
      <c r="J2" s="128"/>
      <c r="K2" s="128"/>
      <c r="L2" s="128"/>
      <c r="M2" s="128"/>
      <c r="N2" s="128"/>
      <c r="O2" s="128"/>
      <c r="P2" s="128"/>
      <c r="Q2" s="128"/>
      <c r="R2" s="128"/>
      <c r="S2" s="128"/>
      <c r="T2" s="128"/>
      <c r="U2" s="128"/>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row>
    <row r="3" spans="1:52">
      <c r="A3" s="128"/>
      <c r="B3" s="128"/>
      <c r="C3" s="128"/>
      <c r="D3" s="128"/>
      <c r="E3" s="128"/>
      <c r="F3" s="128"/>
      <c r="G3" s="128"/>
      <c r="H3" s="128"/>
      <c r="I3" s="128"/>
      <c r="J3" s="128"/>
      <c r="K3" s="128"/>
      <c r="L3" s="128"/>
      <c r="M3" s="128"/>
      <c r="N3" s="128"/>
      <c r="O3" s="128"/>
      <c r="P3" s="128"/>
      <c r="Q3" s="128"/>
      <c r="R3" s="128"/>
      <c r="S3" s="128"/>
      <c r="T3" s="128"/>
      <c r="U3" s="128"/>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row>
    <row r="4" spans="1:52" ht="21" customHeight="1">
      <c r="A4" s="128"/>
      <c r="B4" s="284" t="s">
        <v>167</v>
      </c>
      <c r="C4" s="285"/>
      <c r="D4" s="285"/>
      <c r="E4" s="285"/>
      <c r="F4" s="285"/>
      <c r="G4" s="285"/>
      <c r="H4" s="285"/>
      <c r="I4" s="285"/>
      <c r="J4" s="285"/>
      <c r="K4" s="286"/>
      <c r="L4" s="73"/>
      <c r="M4" s="73"/>
      <c r="N4" s="73"/>
      <c r="O4" s="73"/>
      <c r="P4" s="128"/>
      <c r="Q4" s="128"/>
      <c r="R4" s="128"/>
      <c r="S4" s="128"/>
      <c r="T4" s="128"/>
      <c r="U4" s="128"/>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row>
    <row r="5" spans="1:52" ht="15.75" customHeight="1">
      <c r="A5" s="128"/>
      <c r="B5" s="418" t="s">
        <v>168</v>
      </c>
      <c r="C5" s="418"/>
      <c r="D5" s="293" t="s">
        <v>169</v>
      </c>
      <c r="E5" s="294"/>
      <c r="F5" s="294"/>
      <c r="G5" s="294"/>
      <c r="H5" s="294"/>
      <c r="I5" s="294"/>
      <c r="J5" s="294"/>
      <c r="K5" s="295"/>
      <c r="L5" s="419"/>
      <c r="M5" s="419"/>
      <c r="N5" s="419"/>
      <c r="O5" s="419"/>
      <c r="P5" s="128"/>
      <c r="Q5" s="128"/>
      <c r="R5" s="128"/>
      <c r="S5" s="128"/>
      <c r="T5" s="128"/>
      <c r="U5" s="128"/>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row>
    <row r="6" spans="1:52" ht="15.75" customHeight="1">
      <c r="A6" s="128"/>
      <c r="B6" s="418" t="s">
        <v>170</v>
      </c>
      <c r="C6" s="418"/>
      <c r="D6" s="420">
        <v>43434</v>
      </c>
      <c r="E6" s="421"/>
      <c r="F6" s="421"/>
      <c r="G6" s="421"/>
      <c r="H6" s="421"/>
      <c r="I6" s="421"/>
      <c r="J6" s="421"/>
      <c r="K6" s="422"/>
      <c r="L6" s="419"/>
      <c r="M6" s="419"/>
      <c r="N6" s="419"/>
      <c r="O6" s="419"/>
      <c r="P6" s="128"/>
      <c r="Q6" s="128"/>
      <c r="R6" s="128"/>
      <c r="S6" s="128"/>
      <c r="T6" s="128"/>
      <c r="U6" s="128"/>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row>
    <row r="7" spans="1:52">
      <c r="A7" s="128"/>
      <c r="B7" s="296" t="s">
        <v>13</v>
      </c>
      <c r="C7" s="297"/>
      <c r="D7" s="423" t="s">
        <v>171</v>
      </c>
      <c r="E7" s="424"/>
      <c r="F7" s="424"/>
      <c r="G7" s="424"/>
      <c r="H7" s="424"/>
      <c r="I7" s="424"/>
      <c r="J7" s="424"/>
      <c r="K7" s="425"/>
      <c r="L7" s="426"/>
      <c r="M7" s="426"/>
      <c r="N7" s="426"/>
      <c r="O7" s="426"/>
      <c r="P7" s="128"/>
      <c r="Q7" s="128"/>
      <c r="R7" s="128"/>
      <c r="S7" s="128"/>
      <c r="T7" s="128"/>
      <c r="U7" s="128"/>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row>
    <row r="8" spans="1:52" ht="15.75" customHeight="1">
      <c r="A8" s="128"/>
      <c r="B8" s="298"/>
      <c r="C8" s="299"/>
      <c r="D8" s="423" t="s">
        <v>172</v>
      </c>
      <c r="E8" s="424"/>
      <c r="F8" s="424"/>
      <c r="G8" s="424"/>
      <c r="H8" s="424"/>
      <c r="I8" s="424"/>
      <c r="J8" s="424"/>
      <c r="K8" s="425"/>
      <c r="L8" s="426"/>
      <c r="M8" s="426"/>
      <c r="N8" s="426"/>
      <c r="O8" s="147" t="s">
        <v>173</v>
      </c>
      <c r="P8" s="128"/>
      <c r="Q8" s="128"/>
      <c r="R8" s="128"/>
      <c r="S8" s="128"/>
      <c r="T8" s="128"/>
      <c r="U8" s="128"/>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row>
    <row r="9" spans="1:52" ht="15.75" customHeight="1">
      <c r="A9" s="128"/>
      <c r="B9" s="289" t="s">
        <v>17</v>
      </c>
      <c r="C9" s="289"/>
      <c r="D9" s="290" t="s">
        <v>174</v>
      </c>
      <c r="E9" s="291"/>
      <c r="F9" s="291"/>
      <c r="G9" s="291"/>
      <c r="H9" s="291"/>
      <c r="I9" s="291"/>
      <c r="J9" s="291"/>
      <c r="K9" s="292"/>
      <c r="L9" s="72"/>
      <c r="M9" s="72"/>
      <c r="N9" s="72"/>
      <c r="O9" s="72"/>
      <c r="P9" s="128"/>
      <c r="Q9" s="128"/>
      <c r="R9" s="128"/>
      <c r="S9" s="128"/>
      <c r="T9" s="128"/>
      <c r="U9" s="128"/>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row>
    <row r="10" spans="1:52" ht="15.75" customHeight="1">
      <c r="A10" s="128"/>
      <c r="B10" s="289" t="s">
        <v>19</v>
      </c>
      <c r="C10" s="289"/>
      <c r="D10" s="290" t="s">
        <v>175</v>
      </c>
      <c r="E10" s="291"/>
      <c r="F10" s="291"/>
      <c r="G10" s="291"/>
      <c r="H10" s="291"/>
      <c r="I10" s="291"/>
      <c r="J10" s="291"/>
      <c r="K10" s="292"/>
      <c r="L10" s="419"/>
      <c r="M10" s="419"/>
      <c r="N10" s="419"/>
      <c r="O10" s="419"/>
      <c r="P10" s="128"/>
      <c r="Q10" s="128"/>
      <c r="R10" s="128"/>
      <c r="S10" s="128"/>
      <c r="T10" s="128"/>
      <c r="U10" s="128"/>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row>
    <row r="11" spans="1:52" ht="357.75" customHeight="1">
      <c r="A11" s="128"/>
      <c r="B11" s="427" t="s">
        <v>22</v>
      </c>
      <c r="C11" s="427"/>
      <c r="D11" s="428" t="s">
        <v>176</v>
      </c>
      <c r="E11" s="429"/>
      <c r="F11" s="429"/>
      <c r="G11" s="429"/>
      <c r="H11" s="429"/>
      <c r="I11" s="429"/>
      <c r="J11" s="429"/>
      <c r="K11" s="430"/>
      <c r="L11"/>
      <c r="M11" s="146"/>
      <c r="N11" s="145"/>
      <c r="O11" s="426"/>
      <c r="P11" s="128"/>
      <c r="Q11" s="128"/>
      <c r="R11" s="128"/>
      <c r="S11" s="128"/>
      <c r="T11" s="128"/>
      <c r="U11" s="128"/>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06" t="str">
        <f>D11</f>
        <v xml:space="preserve">Working of the Technology:
A 'modern' natural gas-fired power plant can be a combined heat and power plant (CHP). In case of a combined cycle gas turbine/CCGT (Dutch: Stoom en Gasturbine/STEG) there is a gas turbine and steam turbine. In the first turbine, gas is expanded to drive the turbine. The second turbine, a steam turbine, is being driven by the residual heat of the gas turbine. Water is evaporated using heat from the waste heat recovery unit steam generator (heat exchanger) to produce high pressure steam which is expanded in a steam turbine to generate electricity using a generator. From the drain of a steam turbine, heat can be fed into a heat distribution network. Heat can be supplied to different sectors such as the built environment or industry. This factsheet focuses on a CHP plant that delivers heat to the built environment. A CHP plant without carbon capture and storage (CCS) is considered in this factsheet.
Main components:
Components of a gas-fired power plant for the production of electricity and district heating typically are an (inlet) air compressor,  gas turbine and generator, heat recovery boiler, economiser/heat exchanger (i.e. feedwater heaters; commonly used as part of a heat recovery steam generator in a combined cycle power plant), steam turbine(s) and generator, condensor, cooling technique, and flue gas cleaning equipment.
Energy production related aspects:
The downside of utilizing heat for district heating is that the electrical efficiency of the CHP plant is lowered (loss of electricity production) (ECN, 2011). Loss of electricity production (GJe/GJth supplied) depends on the temperature of heat disconnection. Figures about losses are included in this factsheet. 
Besides CO2 emissions, a STEG also emits NOx (Ecofys, 2014). A power plant is equipped with flue gas cleaners to limit NOx emissions. The flue gas cleaner is included in the costs presented in this factsheet.
</v>
      </c>
    </row>
    <row r="12" spans="1:52" ht="15.75" customHeight="1">
      <c r="A12" s="128"/>
      <c r="B12" s="431" t="s">
        <v>177</v>
      </c>
      <c r="C12" s="431"/>
      <c r="D12" s="432" t="s">
        <v>29</v>
      </c>
      <c r="E12" s="421"/>
      <c r="F12" s="421"/>
      <c r="G12" s="421"/>
      <c r="H12" s="421"/>
      <c r="I12" s="421"/>
      <c r="J12" s="421"/>
      <c r="K12" s="422"/>
      <c r="L12"/>
      <c r="M12" s="419"/>
      <c r="N12" s="419"/>
      <c r="O12" s="419"/>
      <c r="P12" s="128"/>
      <c r="Q12" s="128"/>
      <c r="R12" s="128"/>
      <c r="S12" s="128"/>
      <c r="T12" s="128"/>
      <c r="U12" s="128"/>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row>
    <row r="13" spans="1:52" ht="54" customHeight="1">
      <c r="A13" s="128"/>
      <c r="B13" s="431"/>
      <c r="C13" s="431"/>
      <c r="D13" s="300" t="s">
        <v>178</v>
      </c>
      <c r="E13" s="301"/>
      <c r="F13" s="301"/>
      <c r="G13" s="301"/>
      <c r="H13" s="301"/>
      <c r="I13" s="301"/>
      <c r="J13" s="301"/>
      <c r="K13" s="302"/>
      <c r="L13" s="426"/>
      <c r="M13" s="426"/>
      <c r="N13" s="426"/>
      <c r="O13" s="426"/>
      <c r="P13" s="128"/>
      <c r="Q13" s="128"/>
      <c r="R13" s="128"/>
      <c r="S13" s="128"/>
      <c r="T13" s="128"/>
      <c r="U13" s="128"/>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06" t="str">
        <f>D13</f>
        <v>The technology is already being applied on a large-scale and can therefore be considered to be mature. A substantial amount of the installed capacity in the electricity sector in the Netherlands consists of gas-fired CHP (ECN, 2017b). Gas-fired CHP is one of the main heat sources for district heating in the Netherlands in 2015 (ECN, 2017a).</v>
      </c>
    </row>
    <row r="14" spans="1:52" ht="21" customHeight="1">
      <c r="A14" s="128"/>
      <c r="B14" s="284" t="s">
        <v>47</v>
      </c>
      <c r="C14" s="285"/>
      <c r="D14" s="285"/>
      <c r="E14" s="285"/>
      <c r="F14" s="285"/>
      <c r="G14" s="285"/>
      <c r="H14" s="285"/>
      <c r="I14" s="285"/>
      <c r="J14" s="285"/>
      <c r="K14" s="286"/>
      <c r="L14" s="73"/>
      <c r="M14" s="73"/>
      <c r="N14" s="73"/>
      <c r="O14" s="73"/>
      <c r="P14" s="128"/>
      <c r="Q14" s="128"/>
      <c r="R14" s="128"/>
      <c r="S14" s="128"/>
      <c r="T14" s="128"/>
      <c r="U14" s="128"/>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row>
    <row r="15" spans="1:52" ht="15" customHeight="1">
      <c r="A15" s="128"/>
      <c r="B15" s="247" t="s">
        <v>48</v>
      </c>
      <c r="C15" s="247"/>
      <c r="D15" s="256" t="s">
        <v>179</v>
      </c>
      <c r="E15" s="287"/>
      <c r="F15" s="287"/>
      <c r="G15" s="287"/>
      <c r="H15" s="287"/>
      <c r="I15" s="287"/>
      <c r="J15" s="287"/>
      <c r="K15" s="257"/>
      <c r="L15" s="73"/>
      <c r="M15" s="73"/>
      <c r="N15" s="73"/>
      <c r="O15" s="73"/>
      <c r="P15" s="128"/>
      <c r="Q15" s="128"/>
      <c r="R15" s="128"/>
      <c r="S15" s="128"/>
      <c r="T15" s="128"/>
      <c r="U15" s="128"/>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row>
    <row r="16" spans="1:52" ht="15" customHeight="1">
      <c r="A16" s="128"/>
      <c r="B16" s="247"/>
      <c r="C16" s="247"/>
      <c r="D16" s="258"/>
      <c r="E16" s="288"/>
      <c r="F16" s="288"/>
      <c r="G16" s="288"/>
      <c r="H16" s="288"/>
      <c r="I16" s="288"/>
      <c r="J16" s="288"/>
      <c r="K16" s="259"/>
      <c r="L16" s="73"/>
      <c r="M16" s="73"/>
      <c r="N16" s="73"/>
      <c r="O16" s="73"/>
      <c r="P16" s="128"/>
      <c r="Q16" s="128"/>
      <c r="R16" s="128"/>
      <c r="S16" s="128"/>
      <c r="T16" s="128"/>
      <c r="U16" s="128"/>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row>
    <row r="17" spans="1:21">
      <c r="A17" s="128"/>
      <c r="B17" s="280"/>
      <c r="C17" s="280"/>
      <c r="D17" s="281" t="s">
        <v>180</v>
      </c>
      <c r="E17" s="281"/>
      <c r="F17" s="281"/>
      <c r="G17" s="158" t="s">
        <v>181</v>
      </c>
      <c r="H17" s="158" t="s">
        <v>182</v>
      </c>
      <c r="I17" s="158" t="s">
        <v>183</v>
      </c>
      <c r="J17" s="158" t="s">
        <v>184</v>
      </c>
      <c r="K17" s="158" t="s">
        <v>185</v>
      </c>
      <c r="L17" s="74"/>
      <c r="M17" s="74"/>
      <c r="N17" s="74"/>
      <c r="O17" s="74"/>
      <c r="P17" s="128"/>
      <c r="Q17" s="128"/>
      <c r="R17" s="128"/>
      <c r="S17" s="128"/>
      <c r="T17" s="128"/>
      <c r="U17" s="128"/>
    </row>
    <row r="18" spans="1:21" ht="15.75" customHeight="1">
      <c r="A18" s="128"/>
      <c r="B18" s="247" t="s">
        <v>52</v>
      </c>
      <c r="C18" s="247"/>
      <c r="D18" s="203" t="str">
        <f>IF(D15="Please select","Select Functional Unit above",D15)</f>
        <v>MWe</v>
      </c>
      <c r="E18" s="203"/>
      <c r="F18" s="203"/>
      <c r="G18" s="120">
        <v>500</v>
      </c>
      <c r="H18" s="122">
        <v>200</v>
      </c>
      <c r="I18" s="122">
        <v>900</v>
      </c>
      <c r="J18" s="122"/>
      <c r="K18" s="90"/>
      <c r="L18" s="75"/>
      <c r="M18" s="75"/>
      <c r="N18" s="75"/>
      <c r="O18" s="75"/>
      <c r="P18" s="128"/>
      <c r="Q18" s="128"/>
      <c r="R18" s="128"/>
      <c r="S18" s="128"/>
      <c r="T18" s="128"/>
      <c r="U18" s="128"/>
    </row>
    <row r="19" spans="1:21" ht="15.75" customHeight="1">
      <c r="A19" s="128"/>
      <c r="B19" s="247"/>
      <c r="C19" s="247"/>
      <c r="D19" s="203"/>
      <c r="E19" s="203"/>
      <c r="F19" s="203"/>
      <c r="G19" s="101" t="s">
        <v>186</v>
      </c>
      <c r="H19" s="101" t="s">
        <v>187</v>
      </c>
      <c r="I19" s="101" t="s">
        <v>186</v>
      </c>
      <c r="J19" s="101" t="s">
        <v>188</v>
      </c>
      <c r="K19" s="101" t="s">
        <v>188</v>
      </c>
      <c r="L19" s="75"/>
      <c r="M19" s="75"/>
      <c r="N19" s="75"/>
      <c r="O19" s="75"/>
      <c r="P19" s="128"/>
      <c r="Q19" s="128"/>
      <c r="R19" s="128"/>
      <c r="S19" s="128"/>
      <c r="T19" s="128"/>
      <c r="U19" s="128"/>
    </row>
    <row r="20" spans="1:21" ht="15.75" customHeight="1">
      <c r="A20" s="128"/>
      <c r="B20" s="280"/>
      <c r="C20" s="280"/>
      <c r="D20" s="282" t="s">
        <v>180</v>
      </c>
      <c r="E20" s="283"/>
      <c r="F20" s="160" t="s">
        <v>189</v>
      </c>
      <c r="G20" s="217" t="s">
        <v>190</v>
      </c>
      <c r="H20" s="217"/>
      <c r="I20" s="217"/>
      <c r="J20" s="217"/>
      <c r="K20" s="217"/>
      <c r="L20" s="218">
        <v>2030</v>
      </c>
      <c r="M20" s="218"/>
      <c r="N20" s="218"/>
      <c r="O20" s="218"/>
      <c r="P20" s="218"/>
      <c r="Q20" s="217">
        <v>2050</v>
      </c>
      <c r="R20" s="217"/>
      <c r="S20" s="217"/>
      <c r="T20" s="217"/>
      <c r="U20" s="217"/>
    </row>
    <row r="21" spans="1:21" ht="15.75" customHeight="1">
      <c r="A21" s="128"/>
      <c r="B21" s="265" t="s">
        <v>57</v>
      </c>
      <c r="C21" s="266"/>
      <c r="D21" s="271" t="str">
        <f>IF(D15="Please select","Select Functional Unit above",D15)</f>
        <v>MWe</v>
      </c>
      <c r="E21" s="272"/>
      <c r="F21" s="277" t="s">
        <v>191</v>
      </c>
      <c r="G21" s="158" t="s">
        <v>181</v>
      </c>
      <c r="H21" s="158" t="s">
        <v>182</v>
      </c>
      <c r="I21" s="158" t="s">
        <v>183</v>
      </c>
      <c r="J21" s="158" t="s">
        <v>184</v>
      </c>
      <c r="K21" s="158" t="s">
        <v>185</v>
      </c>
      <c r="L21" s="159" t="s">
        <v>181</v>
      </c>
      <c r="M21" s="159" t="s">
        <v>182</v>
      </c>
      <c r="N21" s="159" t="s">
        <v>183</v>
      </c>
      <c r="O21" s="159" t="s">
        <v>184</v>
      </c>
      <c r="P21" s="159" t="s">
        <v>185</v>
      </c>
      <c r="Q21" s="158" t="s">
        <v>181</v>
      </c>
      <c r="R21" s="158" t="s">
        <v>182</v>
      </c>
      <c r="S21" s="158" t="s">
        <v>183</v>
      </c>
      <c r="T21" s="158" t="s">
        <v>184</v>
      </c>
      <c r="U21" s="158" t="s">
        <v>185</v>
      </c>
    </row>
    <row r="22" spans="1:21" ht="15" customHeight="1">
      <c r="A22" s="128"/>
      <c r="B22" s="267"/>
      <c r="C22" s="268"/>
      <c r="D22" s="273"/>
      <c r="E22" s="274"/>
      <c r="F22" s="278"/>
      <c r="G22" s="121"/>
      <c r="H22" s="90"/>
      <c r="I22" s="90"/>
      <c r="J22" s="90"/>
      <c r="K22" s="90"/>
      <c r="L22" s="121"/>
      <c r="M22" s="100"/>
      <c r="N22" s="100"/>
      <c r="O22" s="100"/>
      <c r="P22" s="100"/>
      <c r="Q22" s="121"/>
      <c r="R22" s="100"/>
      <c r="S22" s="100"/>
      <c r="T22" s="100"/>
      <c r="U22" s="100"/>
    </row>
    <row r="23" spans="1:21">
      <c r="A23" s="128"/>
      <c r="B23" s="269"/>
      <c r="C23" s="270"/>
      <c r="D23" s="275"/>
      <c r="E23" s="276"/>
      <c r="F23" s="279"/>
      <c r="G23" s="101" t="s">
        <v>188</v>
      </c>
      <c r="H23" s="101" t="s">
        <v>188</v>
      </c>
      <c r="I23" s="101" t="s">
        <v>188</v>
      </c>
      <c r="J23" s="101" t="s">
        <v>188</v>
      </c>
      <c r="K23" s="101" t="s">
        <v>188</v>
      </c>
      <c r="L23" s="101" t="s">
        <v>188</v>
      </c>
      <c r="M23" s="101" t="s">
        <v>188</v>
      </c>
      <c r="N23" s="101" t="s">
        <v>188</v>
      </c>
      <c r="O23" s="101" t="s">
        <v>188</v>
      </c>
      <c r="P23" s="101" t="s">
        <v>188</v>
      </c>
      <c r="Q23" s="101" t="s">
        <v>188</v>
      </c>
      <c r="R23" s="101" t="s">
        <v>188</v>
      </c>
      <c r="S23" s="101" t="s">
        <v>188</v>
      </c>
      <c r="T23" s="101" t="s">
        <v>188</v>
      </c>
      <c r="U23" s="101" t="s">
        <v>188</v>
      </c>
    </row>
    <row r="24" spans="1:21" ht="15.75" customHeight="1">
      <c r="A24" s="128"/>
      <c r="B24" s="247" t="s">
        <v>192</v>
      </c>
      <c r="C24" s="247"/>
      <c r="D24" s="256" t="s">
        <v>193</v>
      </c>
      <c r="E24" s="257"/>
      <c r="F24" s="260" t="s">
        <v>194</v>
      </c>
      <c r="G24" s="148">
        <f>(18*67%-2.7)/463*100</f>
        <v>2.0215982721382288</v>
      </c>
      <c r="H24" s="140"/>
      <c r="I24" s="90"/>
      <c r="J24" s="90"/>
      <c r="K24" s="90"/>
      <c r="L24" s="89"/>
      <c r="M24" s="100"/>
      <c r="N24" s="100"/>
      <c r="O24" s="100"/>
      <c r="P24" s="100"/>
      <c r="Q24" s="89"/>
      <c r="R24" s="100"/>
      <c r="S24" s="100"/>
      <c r="T24" s="100"/>
      <c r="U24" s="100"/>
    </row>
    <row r="25" spans="1:21" ht="34.5" customHeight="1">
      <c r="A25" s="128"/>
      <c r="B25" s="247"/>
      <c r="C25" s="247"/>
      <c r="D25" s="258"/>
      <c r="E25" s="259"/>
      <c r="F25" s="261"/>
      <c r="G25" s="101" t="s">
        <v>195</v>
      </c>
      <c r="H25" s="101" t="s">
        <v>188</v>
      </c>
      <c r="I25" s="101" t="s">
        <v>188</v>
      </c>
      <c r="J25" s="101" t="s">
        <v>188</v>
      </c>
      <c r="K25" s="101" t="s">
        <v>188</v>
      </c>
      <c r="L25" s="101" t="s">
        <v>188</v>
      </c>
      <c r="M25" s="101" t="s">
        <v>188</v>
      </c>
      <c r="N25" s="101" t="s">
        <v>188</v>
      </c>
      <c r="O25" s="101" t="s">
        <v>188</v>
      </c>
      <c r="P25" s="101" t="s">
        <v>188</v>
      </c>
      <c r="Q25" s="101" t="s">
        <v>188</v>
      </c>
      <c r="R25" s="101" t="s">
        <v>188</v>
      </c>
      <c r="S25" s="101" t="s">
        <v>188</v>
      </c>
      <c r="T25" s="101" t="s">
        <v>188</v>
      </c>
      <c r="U25" s="101" t="s">
        <v>188</v>
      </c>
    </row>
    <row r="26" spans="1:21">
      <c r="A26" s="128"/>
      <c r="B26" s="240" t="s">
        <v>66</v>
      </c>
      <c r="C26" s="240"/>
      <c r="D26" s="262">
        <f>D27/8760</f>
        <v>0.79908675799086759</v>
      </c>
      <c r="E26" s="263"/>
      <c r="F26" s="263"/>
      <c r="G26" s="263"/>
      <c r="H26" s="263"/>
      <c r="I26" s="263"/>
      <c r="J26" s="263"/>
      <c r="K26" s="264"/>
      <c r="L26" s="77"/>
      <c r="M26" s="77"/>
      <c r="N26" s="77"/>
      <c r="O26" s="77"/>
      <c r="P26" s="128"/>
      <c r="Q26" s="128"/>
      <c r="R26" s="128"/>
      <c r="S26" s="128"/>
      <c r="T26" s="128"/>
      <c r="U26" s="128"/>
    </row>
    <row r="27" spans="1:21">
      <c r="A27" s="128"/>
      <c r="B27" s="240" t="s">
        <v>69</v>
      </c>
      <c r="C27" s="240"/>
      <c r="D27" s="253">
        <v>7000</v>
      </c>
      <c r="E27" s="254"/>
      <c r="F27" s="254"/>
      <c r="G27" s="254"/>
      <c r="H27" s="254"/>
      <c r="I27" s="254"/>
      <c r="J27" s="254"/>
      <c r="K27" s="255"/>
      <c r="L27" s="77"/>
      <c r="M27" s="77"/>
      <c r="N27" s="77"/>
      <c r="O27" s="77"/>
      <c r="P27" s="128"/>
      <c r="Q27" s="128"/>
      <c r="R27" s="128"/>
      <c r="S27" s="128"/>
      <c r="T27" s="128"/>
      <c r="U27" s="128"/>
    </row>
    <row r="28" spans="1:21" ht="15" customHeight="1">
      <c r="A28" s="128"/>
      <c r="B28" s="240" t="s">
        <v>71</v>
      </c>
      <c r="C28" s="240"/>
      <c r="D28" s="244" t="s">
        <v>196</v>
      </c>
      <c r="E28" s="245"/>
      <c r="F28" s="245"/>
      <c r="G28" s="245"/>
      <c r="H28" s="245"/>
      <c r="I28" s="245"/>
      <c r="J28" s="245"/>
      <c r="K28" s="246"/>
      <c r="L28" s="77"/>
      <c r="M28" s="77"/>
      <c r="N28" s="77"/>
      <c r="O28" s="77"/>
      <c r="P28" s="128"/>
      <c r="Q28" s="128"/>
      <c r="R28" s="128"/>
      <c r="S28" s="128"/>
      <c r="T28" s="128"/>
      <c r="U28" s="128"/>
    </row>
    <row r="29" spans="1:21" ht="15.75" customHeight="1">
      <c r="A29" s="128"/>
      <c r="B29" s="240" t="s">
        <v>74</v>
      </c>
      <c r="C29" s="240"/>
      <c r="D29" s="250">
        <f>G18*D27*3.6/10^6</f>
        <v>12.6</v>
      </c>
      <c r="E29" s="251"/>
      <c r="F29" s="251"/>
      <c r="G29" s="251"/>
      <c r="H29" s="251"/>
      <c r="I29" s="251"/>
      <c r="J29" s="251"/>
      <c r="K29" s="252"/>
      <c r="L29" s="76"/>
      <c r="M29" s="129"/>
      <c r="N29" s="76"/>
      <c r="O29" s="76"/>
      <c r="P29" s="128"/>
      <c r="Q29" s="128"/>
      <c r="R29" s="128"/>
      <c r="S29" s="128"/>
      <c r="T29" s="128"/>
      <c r="U29" s="128"/>
    </row>
    <row r="30" spans="1:21">
      <c r="A30" s="128"/>
      <c r="B30" s="240" t="s">
        <v>79</v>
      </c>
      <c r="C30" s="240"/>
      <c r="D30" s="253">
        <v>30</v>
      </c>
      <c r="E30" s="254"/>
      <c r="F30" s="254"/>
      <c r="G30" s="254"/>
      <c r="H30" s="254"/>
      <c r="I30" s="254"/>
      <c r="J30" s="254"/>
      <c r="K30" s="255"/>
      <c r="L30" s="77"/>
      <c r="M30" s="77"/>
      <c r="N30" s="77"/>
      <c r="O30" s="77"/>
      <c r="P30" s="128"/>
      <c r="Q30" s="128"/>
      <c r="R30" s="128"/>
      <c r="S30" s="128"/>
      <c r="T30" s="128"/>
      <c r="U30" s="128"/>
    </row>
    <row r="31" spans="1:21">
      <c r="A31" s="128"/>
      <c r="B31" s="240" t="s">
        <v>81</v>
      </c>
      <c r="C31" s="240"/>
      <c r="D31" s="241"/>
      <c r="E31" s="242"/>
      <c r="F31" s="242"/>
      <c r="G31" s="242"/>
      <c r="H31" s="242"/>
      <c r="I31" s="242"/>
      <c r="J31" s="242"/>
      <c r="K31" s="243"/>
      <c r="L31" s="77"/>
      <c r="M31" s="77"/>
      <c r="N31" s="77"/>
      <c r="O31" s="77"/>
      <c r="P31" s="128"/>
      <c r="Q31" s="128"/>
      <c r="R31" s="128"/>
      <c r="S31" s="128"/>
      <c r="T31" s="128"/>
      <c r="U31" s="128"/>
    </row>
    <row r="32" spans="1:21">
      <c r="A32" s="128"/>
      <c r="B32" s="240" t="s">
        <v>83</v>
      </c>
      <c r="C32" s="240"/>
      <c r="D32" s="244" t="s">
        <v>197</v>
      </c>
      <c r="E32" s="245"/>
      <c r="F32" s="245"/>
      <c r="G32" s="245"/>
      <c r="H32" s="245"/>
      <c r="I32" s="245"/>
      <c r="J32" s="245"/>
      <c r="K32" s="246"/>
      <c r="L32" s="77"/>
      <c r="M32" s="77"/>
      <c r="N32" s="77"/>
      <c r="O32" s="77"/>
      <c r="P32" s="128"/>
      <c r="Q32" s="128"/>
      <c r="R32" s="128"/>
      <c r="S32" s="128"/>
      <c r="T32" s="128"/>
      <c r="U32" s="128"/>
    </row>
    <row r="33" spans="1:53" ht="409.6" customHeight="1">
      <c r="A33" s="128"/>
      <c r="B33" s="247" t="s">
        <v>198</v>
      </c>
      <c r="C33" s="247"/>
      <c r="D33" s="219" t="s">
        <v>199</v>
      </c>
      <c r="E33" s="248"/>
      <c r="F33" s="248"/>
      <c r="G33" s="248"/>
      <c r="H33" s="248"/>
      <c r="I33" s="248"/>
      <c r="J33" s="248"/>
      <c r="K33" s="249"/>
      <c r="L33" s="426"/>
      <c r="M33" s="76"/>
      <c r="N33" s="426"/>
      <c r="O33" s="426"/>
      <c r="P33" s="128"/>
      <c r="Q33" s="128"/>
      <c r="R33" s="128"/>
      <c r="S33" s="128"/>
      <c r="T33" s="128"/>
      <c r="U33" s="128"/>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06" t="str">
        <f>D33</f>
        <v xml:space="preserve">Typical Electric and Heat Capacity Of Gas-fired Power Plants
The electrical capacity of most STEG plants in different OECD countries ranges between 280 and 900MWe (IEA, 2015). In the Netherlands the electrical capacity of STEG plants ranges between 200 and 900MWe (Ecofys, 2014). Here, 500 MWe is taken as an average.
Full load hours per year for electricity production are case-dependent. It depends strongly on the position of these plants within the electricity market (ECN, 2017b). The increasing share of intermittent renewable electricity generation may decrease full load hours, because  plants do not have to operate when there is sufficient production from renewable sources (ECN, 2019). Gas-fired CHP could then provide back-up capacity. From a general historical perspective, a gas-fired CHP plant used for district heating typically runs as base load plant for electricity production; 6.000 to 8.000 full load hours per year (ECN, 2010; Gasterra, 2008). In case of 7.000 full loads hours this translates to a capacity utilitization factor of 80%. Indeed, IEA (2010) indicates 75 to 85% as capacity utilization factor for a CCGT CHP (IEA ETSAP, 2010). A CHP plant with a capacity of 500 MWe and 7.000 full load hours produces 12,6 PJe per year. Full load hours for heat delivery are not the same. Indeed, heat demand peaks in winter and in other seasons there is a (much) lower heat demand. Heat is available when the plant produces electricity, but due to limited overlap with the heat demand only 30 to 45% of the available heat can be supplied per year (ECN, 2011). 
For example, consider a large scale district heating network that supplies about 1 PJth per year, as average for the Netherlands (ECN, 2017a). About 25% heat losses can be assumed in a heat network (ECN, 2017a). This means the heat source needs to produce about 1,3 PJth per year. Assuming 4.500 full load hours (Energy Matters, 2012), the needed thermal output capacity for district heating is 82MWth.
A minimum heat disconnection capacity for district heating is 10MWth (Ecofys, 2014).
Heat Supply by Gas-fired Power Plants In The Netherlands
About 4% of the final heat demand in the built environment (463 PJ in 2015 based on ECN, 2017a) in the Netherlands is supplied with district heating in 2015 (ECN, 2017a). In 2015, 67% of final heat demand of large scale heat networks (18 PJ) is supplied by (natural gas and coal fired) CHP plants, this figure is also including small gas-fired CHP units (ECN, 2017a). Excluding heat supplied by coal-fired CHP (2,7 PJ in 2015 based on ECN, 2017a), this results in a share of about 2% for gas-fired CHP plants in the final heat demand of the built environment. This share is expected to decrease as the share of sustainable heat goes up.
Technical Lifetime Gas-fired Power Plants
ETRI indicates a technical lifetime of 30 years for a CCGT CHP (ETRI, 2014). ECN indicates a technical lifetime of 30 years for a gas-fired CHP (ECN, 2011). IEA (2010) indicates a technical lifetime of 25 years for a CCGT CHP (IEA ETSAP, 2010).
</v>
      </c>
    </row>
    <row r="34" spans="1:53" ht="21" customHeight="1">
      <c r="A34" s="128"/>
      <c r="B34" s="223" t="s">
        <v>200</v>
      </c>
      <c r="C34" s="223"/>
      <c r="D34" s="223"/>
      <c r="E34" s="223"/>
      <c r="F34" s="223"/>
      <c r="G34" s="223"/>
      <c r="H34" s="223"/>
      <c r="I34" s="223"/>
      <c r="J34" s="223"/>
      <c r="K34" s="223"/>
      <c r="L34" s="223"/>
      <c r="M34" s="223"/>
      <c r="N34" s="223"/>
      <c r="O34" s="223"/>
      <c r="P34" s="223"/>
      <c r="Q34" s="223"/>
      <c r="R34" s="223"/>
      <c r="S34" s="223"/>
      <c r="T34" s="223"/>
      <c r="U34" s="223"/>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row>
    <row r="35" spans="1:53" ht="15.75" customHeight="1">
      <c r="A35" s="128"/>
      <c r="B35" s="238" t="s">
        <v>201</v>
      </c>
      <c r="C35" s="238"/>
      <c r="D35" s="238"/>
      <c r="E35" s="238"/>
      <c r="F35" s="238"/>
      <c r="G35" s="217" t="s">
        <v>190</v>
      </c>
      <c r="H35" s="217"/>
      <c r="I35" s="217"/>
      <c r="J35" s="217"/>
      <c r="K35" s="217"/>
      <c r="L35" s="218">
        <v>2030</v>
      </c>
      <c r="M35" s="218"/>
      <c r="N35" s="218"/>
      <c r="O35" s="218"/>
      <c r="P35" s="218"/>
      <c r="Q35" s="217">
        <v>2050</v>
      </c>
      <c r="R35" s="217"/>
      <c r="S35" s="217"/>
      <c r="T35" s="217"/>
      <c r="U35" s="217"/>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row>
    <row r="36" spans="1:53" ht="15.75" customHeight="1">
      <c r="A36" s="128"/>
      <c r="B36" s="238"/>
      <c r="C36" s="238"/>
      <c r="D36" s="239"/>
      <c r="E36" s="239"/>
      <c r="F36" s="239"/>
      <c r="G36" s="158" t="s">
        <v>181</v>
      </c>
      <c r="H36" s="158" t="s">
        <v>182</v>
      </c>
      <c r="I36" s="158" t="s">
        <v>183</v>
      </c>
      <c r="J36" s="158" t="s">
        <v>184</v>
      </c>
      <c r="K36" s="158" t="s">
        <v>185</v>
      </c>
      <c r="L36" s="159" t="s">
        <v>181</v>
      </c>
      <c r="M36" s="159" t="s">
        <v>182</v>
      </c>
      <c r="N36" s="159" t="s">
        <v>183</v>
      </c>
      <c r="O36" s="159" t="s">
        <v>184</v>
      </c>
      <c r="P36" s="159" t="s">
        <v>185</v>
      </c>
      <c r="Q36" s="158" t="s">
        <v>181</v>
      </c>
      <c r="R36" s="158" t="s">
        <v>182</v>
      </c>
      <c r="S36" s="158" t="s">
        <v>183</v>
      </c>
      <c r="T36" s="158" t="s">
        <v>184</v>
      </c>
      <c r="U36" s="158" t="s">
        <v>185</v>
      </c>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row>
    <row r="37" spans="1:53" ht="15.75" customHeight="1">
      <c r="A37" s="128"/>
      <c r="B37" s="431" t="s">
        <v>90</v>
      </c>
      <c r="C37" s="433"/>
      <c r="D37" s="233" t="s">
        <v>202</v>
      </c>
      <c r="E37" s="235" t="str">
        <f>IF(D15="Please select","Please select 'Functional Unit' above",D15)</f>
        <v>MWe</v>
      </c>
      <c r="F37" s="236"/>
      <c r="G37" s="91">
        <f>1000/1000*100/99.47</f>
        <v>1.0053282396702523</v>
      </c>
      <c r="H37" s="100">
        <f>870/1000*100/99.47</f>
        <v>0.87463556851311952</v>
      </c>
      <c r="I37" s="100">
        <f>1210/1000*100/99.47</f>
        <v>1.2164471700010053</v>
      </c>
      <c r="J37" s="100">
        <f>1050/1000*100/96.99</f>
        <v>1.0825858335910918</v>
      </c>
      <c r="K37" s="100">
        <f>1200/1000*1/1.33*100/92.05</f>
        <v>0.98017994470151482</v>
      </c>
      <c r="L37" s="91">
        <f>990/1000*100/99.47</f>
        <v>0.99527495727354987</v>
      </c>
      <c r="M37" s="100">
        <f>850/1000*100/99.47</f>
        <v>0.85452900371971452</v>
      </c>
      <c r="N37" s="100">
        <f>1180/1000*100/99.47</f>
        <v>1.1862873228108979</v>
      </c>
      <c r="O37" s="100"/>
      <c r="P37" s="100">
        <f>1100/1000*1/1.33*100/92.05</f>
        <v>0.89849828264305531</v>
      </c>
      <c r="Q37" s="91">
        <f>970/1000*100/99.47</f>
        <v>0.97516839248014475</v>
      </c>
      <c r="R37" s="100">
        <f>830/1000*100/99.47</f>
        <v>0.83442243892630941</v>
      </c>
      <c r="S37" s="100">
        <f>1150/1000*100/99.47</f>
        <v>1.15612747562079</v>
      </c>
      <c r="T37" s="100"/>
      <c r="U37" s="100"/>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row>
    <row r="38" spans="1:53">
      <c r="A38" s="128"/>
      <c r="B38" s="431"/>
      <c r="C38" s="433"/>
      <c r="D38" s="234"/>
      <c r="E38" s="237"/>
      <c r="F38" s="189"/>
      <c r="G38" s="102" t="s">
        <v>203</v>
      </c>
      <c r="H38" s="102" t="s">
        <v>203</v>
      </c>
      <c r="I38" s="102" t="s">
        <v>203</v>
      </c>
      <c r="J38" s="101" t="s">
        <v>204</v>
      </c>
      <c r="K38" s="101" t="s">
        <v>205</v>
      </c>
      <c r="L38" s="102" t="s">
        <v>203</v>
      </c>
      <c r="M38" s="102" t="s">
        <v>203</v>
      </c>
      <c r="N38" s="102" t="s">
        <v>203</v>
      </c>
      <c r="O38" s="101" t="s">
        <v>188</v>
      </c>
      <c r="P38" s="101" t="s">
        <v>205</v>
      </c>
      <c r="Q38" s="102" t="s">
        <v>203</v>
      </c>
      <c r="R38" s="102" t="s">
        <v>203</v>
      </c>
      <c r="S38" s="102" t="s">
        <v>203</v>
      </c>
      <c r="T38" s="101" t="s">
        <v>188</v>
      </c>
      <c r="U38" s="101" t="s">
        <v>188</v>
      </c>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row>
    <row r="39" spans="1:53" ht="15" customHeight="1">
      <c r="A39" s="128"/>
      <c r="B39" s="431" t="s">
        <v>206</v>
      </c>
      <c r="C39" s="431"/>
      <c r="D39" s="233" t="s">
        <v>202</v>
      </c>
      <c r="E39" s="235" t="str">
        <f>IF(D15="Please select","Please select 'Functional Unit' above",D15)</f>
        <v>MWe</v>
      </c>
      <c r="F39" s="236"/>
      <c r="G39" s="124"/>
      <c r="H39" s="100"/>
      <c r="I39" s="101"/>
      <c r="J39" s="100"/>
      <c r="K39" s="101"/>
      <c r="L39" s="124"/>
      <c r="M39" s="100"/>
      <c r="N39" s="101"/>
      <c r="O39" s="101"/>
      <c r="P39" s="101"/>
      <c r="Q39" s="124"/>
      <c r="R39" s="100"/>
      <c r="S39" s="101"/>
      <c r="T39" s="100"/>
      <c r="U39" s="100"/>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row>
    <row r="40" spans="1:53" ht="15" customHeight="1">
      <c r="A40" s="128"/>
      <c r="B40" s="431"/>
      <c r="C40" s="431"/>
      <c r="D40" s="234"/>
      <c r="E40" s="237"/>
      <c r="F40" s="189"/>
      <c r="G40" s="101" t="s">
        <v>188</v>
      </c>
      <c r="H40" s="101" t="s">
        <v>188</v>
      </c>
      <c r="I40" s="101" t="s">
        <v>188</v>
      </c>
      <c r="J40" s="101" t="s">
        <v>188</v>
      </c>
      <c r="K40" s="101" t="s">
        <v>188</v>
      </c>
      <c r="L40" s="101" t="s">
        <v>188</v>
      </c>
      <c r="M40" s="101" t="s">
        <v>188</v>
      </c>
      <c r="N40" s="101" t="s">
        <v>188</v>
      </c>
      <c r="O40" s="101" t="s">
        <v>188</v>
      </c>
      <c r="P40" s="101" t="s">
        <v>188</v>
      </c>
      <c r="Q40" s="101" t="s">
        <v>188</v>
      </c>
      <c r="R40" s="101" t="s">
        <v>188</v>
      </c>
      <c r="S40" s="101" t="s">
        <v>188</v>
      </c>
      <c r="T40" s="101" t="s">
        <v>188</v>
      </c>
      <c r="U40" s="101" t="s">
        <v>188</v>
      </c>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row>
    <row r="41" spans="1:53" ht="15.75" customHeight="1">
      <c r="A41" s="128"/>
      <c r="B41" s="431" t="s">
        <v>207</v>
      </c>
      <c r="C41" s="431"/>
      <c r="D41" s="233" t="s">
        <v>202</v>
      </c>
      <c r="E41" s="235" t="str">
        <f>IF(D15="Please select","Please select 'Activity Unit' above",D15)</f>
        <v>MWe</v>
      </c>
      <c r="F41" s="236"/>
      <c r="G41" s="91">
        <f>5.2%*G37*100/99.47</f>
        <v>5.2555613212881394E-2</v>
      </c>
      <c r="H41" s="100">
        <f>5.2%*H37*100/99.47</f>
        <v>4.5723383495206812E-2</v>
      </c>
      <c r="I41" s="100">
        <f>5.2%*I37*100/99.47</f>
        <v>6.3592291987586494E-2</v>
      </c>
      <c r="J41" s="100">
        <v>0</v>
      </c>
      <c r="K41" s="100">
        <f>50/1000*1/1.33*100/92.05</f>
        <v>4.0840831029229786E-2</v>
      </c>
      <c r="L41" s="91">
        <f>5.2%*L37*100/99.47</f>
        <v>5.203005708075259E-2</v>
      </c>
      <c r="M41" s="100">
        <f>5.2%*M37*100/99.47</f>
        <v>4.467227123094919E-2</v>
      </c>
      <c r="N41" s="100">
        <f>5.2%*N37*100/99.47</f>
        <v>6.201562359120006E-2</v>
      </c>
      <c r="O41" s="100"/>
      <c r="P41" s="100">
        <f>50/1000*1/1.33*100/92.05</f>
        <v>4.0840831029229786E-2</v>
      </c>
      <c r="Q41" s="91">
        <f>5.2%*Q37*100/99.47</f>
        <v>5.097894481649496E-2</v>
      </c>
      <c r="R41" s="100">
        <f>5.2%*R37*100/99.47</f>
        <v>4.362115896669156E-2</v>
      </c>
      <c r="S41" s="100">
        <f>5.2%*S37*100/99.47</f>
        <v>6.0438955194813598E-2</v>
      </c>
      <c r="T41" s="100"/>
      <c r="U41" s="100"/>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row>
    <row r="42" spans="1:53" ht="15" customHeight="1">
      <c r="A42" s="128"/>
      <c r="B42" s="431"/>
      <c r="C42" s="431"/>
      <c r="D42" s="234"/>
      <c r="E42" s="237"/>
      <c r="F42" s="189"/>
      <c r="G42" s="102" t="s">
        <v>203</v>
      </c>
      <c r="H42" s="102" t="s">
        <v>203</v>
      </c>
      <c r="I42" s="102" t="s">
        <v>203</v>
      </c>
      <c r="J42" s="101" t="s">
        <v>204</v>
      </c>
      <c r="K42" s="101" t="s">
        <v>205</v>
      </c>
      <c r="L42" s="102" t="s">
        <v>203</v>
      </c>
      <c r="M42" s="102" t="s">
        <v>203</v>
      </c>
      <c r="N42" s="102" t="s">
        <v>203</v>
      </c>
      <c r="O42" s="101" t="s">
        <v>188</v>
      </c>
      <c r="P42" s="101" t="s">
        <v>205</v>
      </c>
      <c r="Q42" s="102" t="s">
        <v>203</v>
      </c>
      <c r="R42" s="102" t="s">
        <v>203</v>
      </c>
      <c r="S42" s="102" t="s">
        <v>203</v>
      </c>
      <c r="T42" s="101" t="s">
        <v>188</v>
      </c>
      <c r="U42" s="101" t="s">
        <v>188</v>
      </c>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row>
    <row r="43" spans="1:53" ht="15.75" customHeight="1">
      <c r="A43" s="128"/>
      <c r="B43" s="431" t="s">
        <v>208</v>
      </c>
      <c r="C43" s="431"/>
      <c r="D43" s="233" t="s">
        <v>202</v>
      </c>
      <c r="E43" s="235" t="str">
        <f>IF(D15="Please select","Please select 'Functional Unit' above",D15)</f>
        <v>MWe</v>
      </c>
      <c r="F43" s="236"/>
      <c r="G43" s="91">
        <f>(4*$G$18*$D$27)/10^6/$G$18*100/99.47</f>
        <v>2.8149190710767068E-2</v>
      </c>
      <c r="H43" s="100">
        <f>(4*$G$18*$D$27)/10^6/$G$18*100/99.47</f>
        <v>2.8149190710767068E-2</v>
      </c>
      <c r="I43" s="100">
        <f>(4*$G$18*$D$27)/10^6/$G$18*100/99.47</f>
        <v>2.8149190710767068E-2</v>
      </c>
      <c r="J43" s="100">
        <f>2520000/120/10^6*100/96.99</f>
        <v>2.1651716671821839E-2</v>
      </c>
      <c r="K43" s="100"/>
      <c r="L43" s="91">
        <f>(4*$G$18*$D$27)/10^6/$G$18*100/99.47</f>
        <v>2.8149190710767068E-2</v>
      </c>
      <c r="M43" s="100">
        <f>(4*$G$18*$D$27)/10^6/$G$18*100/99.47</f>
        <v>2.8149190710767068E-2</v>
      </c>
      <c r="N43" s="100">
        <f>(4*$G$18*$D$27)/10^6/$G$18*100/99.47</f>
        <v>2.8149190710767068E-2</v>
      </c>
      <c r="O43" s="100"/>
      <c r="P43" s="100"/>
      <c r="Q43" s="91">
        <f>(4*$G$18*$D$27)/10^6/$G$18*100/99.47</f>
        <v>2.8149190710767068E-2</v>
      </c>
      <c r="R43" s="100">
        <f>(4*$G$18*$D$27)/10^6/$G$18*100/99.47</f>
        <v>2.8149190710767068E-2</v>
      </c>
      <c r="S43" s="100">
        <f>(4*$G$18*$D$27)/10^6/$G$18*100/99.47</f>
        <v>2.8149190710767068E-2</v>
      </c>
      <c r="T43" s="100"/>
      <c r="U43" s="100"/>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row>
    <row r="44" spans="1:53" ht="15" customHeight="1">
      <c r="A44" s="128"/>
      <c r="B44" s="431"/>
      <c r="C44" s="431"/>
      <c r="D44" s="234"/>
      <c r="E44" s="237"/>
      <c r="F44" s="189"/>
      <c r="G44" s="102" t="s">
        <v>203</v>
      </c>
      <c r="H44" s="102" t="s">
        <v>203</v>
      </c>
      <c r="I44" s="102" t="s">
        <v>203</v>
      </c>
      <c r="J44" s="101" t="s">
        <v>204</v>
      </c>
      <c r="K44" s="101" t="s">
        <v>205</v>
      </c>
      <c r="L44" s="102" t="s">
        <v>203</v>
      </c>
      <c r="M44" s="102" t="s">
        <v>203</v>
      </c>
      <c r="N44" s="102" t="s">
        <v>203</v>
      </c>
      <c r="O44" s="101" t="s">
        <v>188</v>
      </c>
      <c r="P44" s="101" t="s">
        <v>205</v>
      </c>
      <c r="Q44" s="102" t="s">
        <v>203</v>
      </c>
      <c r="R44" s="102" t="s">
        <v>203</v>
      </c>
      <c r="S44" s="102" t="s">
        <v>203</v>
      </c>
      <c r="T44" s="101" t="s">
        <v>188</v>
      </c>
      <c r="U44" s="101" t="s">
        <v>188</v>
      </c>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row>
    <row r="45" spans="1:53" ht="315.75" customHeight="1">
      <c r="A45" s="128"/>
      <c r="B45" s="427" t="s">
        <v>209</v>
      </c>
      <c r="C45" s="427"/>
      <c r="D45" s="434" t="s">
        <v>210</v>
      </c>
      <c r="E45" s="434"/>
      <c r="F45" s="434"/>
      <c r="G45" s="434"/>
      <c r="H45" s="434"/>
      <c r="I45" s="434"/>
      <c r="J45" s="434"/>
      <c r="K45" s="434"/>
      <c r="L45" s="434"/>
      <c r="M45" s="434"/>
      <c r="N45" s="434"/>
      <c r="O45" s="434"/>
      <c r="P45" s="434"/>
      <c r="Q45" s="434"/>
      <c r="R45" s="434"/>
      <c r="S45" s="434"/>
      <c r="T45" s="434"/>
      <c r="U45" s="434"/>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BA45" s="106" t="str">
        <f>D45</f>
        <v xml:space="preserve">Overview:
The ETRI (2014), Energy Matters (2012), IEA ETSAP (2010) and PBL (2017) and ECN (2011) reports provide information on gas-fired CHP' investment costs/capital expense (CAPEX), fixed operational costs (FOM), and variable operational costs (VOM). Costs are described for different capacity levels expressed per unit of capacity.
Costs explanation per source:
•	ETRI (2014) indicates the CAPEX of a CCGT advanced CHP (ETRI, 2014). ETRI indicates a CAPEX of 870-1210 €/kWe for the plant in 2020, a CAPEX of 850-1180 €/kWe for the plant in 2030 and a CAPEX of 830-1150 €/kWe for the plant in 2050. The FOM costs per year in 2020, 2030 and 2050 amount to 5,2% of the CAPEX, namely 3,9% for FOM and 1,3% for FOM refurbishment (ETRI, 2014). The VOM costs per year in 2020, 2030 and 2050 amount to 4 €/MWh (ETRI, 2014) and these are converted to €/MWe assuming 7.000 full load hours per year. In the CAPEX the following cost components are included (ETRI, 2014): Civil and structural costs, Major equipment costs, Electrical and I&amp;C supply and installation, Project indirect costs, Development costs and Interconnection costs. Costs not included are: Balance of plant costs and Insurance costs (ETRI, 2014).
• Energy Matters (2012) indicates investment costs of a STEG with capacity of 120MWe (Energy Matters, 2012). Energy Matters indicates an investment of 1.050 euros/kWe. CAPEX ncludes Civil and structural costs, Major equipment costs including heat disconnection costs. Fixed operational costs are zero (Energy Matters, 2012). Variable costs per year are 2,52 Million Euros per year (Energy Matters, 2012). This plant is used for electricity production and disctrict heating. 
• According to the IEA (2010) the investment cost of CCGT CHP plant (including indirect costs or IDC) is in the range of $1100 to $1800/kWe , which is 10-45% higher than the cost of a power plant, depending  on the capacity of the plant (IEA ETSAP, 2010).  Typical investment costs amount to $1300/kWe (inc. IDC). The O&amp;M costs, which are given as the total of fixed and variable, are in the range of $40/kWe to $60/kWe per year (typically $50/kWe). According to the IEA (2010) projection, incremental improvements and technology learning may lead to investment cost of $1200/kWe by 2020 and $1100/kWe by 2030 (IEA ETSAP, 2010). 
When a CHP plant supplies heat to a heat network for the first time, there are additional investment costs for heat disconnection:
• PBL (2017) indicates an investment of 150-175 euros2017/kWth,output (PBL, 2017). The costs consist of the investment/CAPEX for heat disconnection (Dutch: 'kosten warmteuitkoppeling'). The fixed operational costs per year are 5% of the investment.
• ECN (2011) indicates an investment of 300 euros2011/kWth,output (ECN, 2011). The costs indicated consist of the investment/CAPEX for heat disconnection (Dutch: 'kosten warmteuitkoppeling'). 
</v>
      </c>
    </row>
    <row r="46" spans="1:53" ht="21" customHeight="1">
      <c r="A46" s="128"/>
      <c r="B46" s="223" t="s">
        <v>104</v>
      </c>
      <c r="C46" s="223"/>
      <c r="D46" s="223"/>
      <c r="E46" s="223"/>
      <c r="F46" s="223"/>
      <c r="G46" s="223"/>
      <c r="H46" s="223"/>
      <c r="I46" s="223"/>
      <c r="J46" s="223"/>
      <c r="K46" s="223"/>
      <c r="L46" s="223"/>
      <c r="M46" s="223"/>
      <c r="N46" s="223"/>
      <c r="O46" s="223"/>
      <c r="P46" s="223"/>
      <c r="Q46" s="223"/>
      <c r="R46" s="223"/>
      <c r="S46" s="223"/>
      <c r="T46" s="223"/>
      <c r="U46" s="223"/>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row>
    <row r="47" spans="1:53" ht="15.75" customHeight="1">
      <c r="A47" s="128"/>
      <c r="B47" s="207" t="s">
        <v>211</v>
      </c>
      <c r="C47" s="208"/>
      <c r="D47" s="222" t="s">
        <v>212</v>
      </c>
      <c r="E47" s="222"/>
      <c r="F47" s="222" t="s">
        <v>213</v>
      </c>
      <c r="G47" s="217" t="s">
        <v>190</v>
      </c>
      <c r="H47" s="217"/>
      <c r="I47" s="217"/>
      <c r="J47" s="217"/>
      <c r="K47" s="217"/>
      <c r="L47" s="218">
        <v>2030</v>
      </c>
      <c r="M47" s="218"/>
      <c r="N47" s="218"/>
      <c r="O47" s="218"/>
      <c r="P47" s="218"/>
      <c r="Q47" s="217">
        <v>2050</v>
      </c>
      <c r="R47" s="217"/>
      <c r="S47" s="217"/>
      <c r="T47" s="217"/>
      <c r="U47" s="217"/>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row>
    <row r="48" spans="1:53">
      <c r="A48" s="128"/>
      <c r="B48" s="209"/>
      <c r="C48" s="210"/>
      <c r="D48" s="222"/>
      <c r="E48" s="222"/>
      <c r="F48" s="222"/>
      <c r="G48" s="158"/>
      <c r="H48" s="158"/>
      <c r="I48" s="158"/>
      <c r="J48" s="158" t="s">
        <v>184</v>
      </c>
      <c r="K48" s="158" t="s">
        <v>185</v>
      </c>
      <c r="L48" s="159" t="s">
        <v>181</v>
      </c>
      <c r="M48" s="159" t="s">
        <v>182</v>
      </c>
      <c r="N48" s="159" t="s">
        <v>183</v>
      </c>
      <c r="O48" s="159" t="s">
        <v>184</v>
      </c>
      <c r="P48" s="159" t="s">
        <v>185</v>
      </c>
      <c r="Q48" s="158" t="s">
        <v>181</v>
      </c>
      <c r="R48" s="158" t="s">
        <v>182</v>
      </c>
      <c r="S48" s="158" t="s">
        <v>183</v>
      </c>
      <c r="T48" s="158" t="s">
        <v>184</v>
      </c>
      <c r="U48" s="158" t="s">
        <v>185</v>
      </c>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row>
    <row r="49" spans="1:53" ht="15.75" customHeight="1">
      <c r="A49" s="128"/>
      <c r="B49" s="435" t="s">
        <v>214</v>
      </c>
      <c r="C49" s="436"/>
      <c r="D49" s="437" t="s">
        <v>215</v>
      </c>
      <c r="E49" s="437"/>
      <c r="F49" s="232" t="s">
        <v>145</v>
      </c>
      <c r="G49" s="121">
        <f>-50%*G51</f>
        <v>-1</v>
      </c>
      <c r="H49" s="100">
        <f>-43%*H51</f>
        <v>-1</v>
      </c>
      <c r="I49" s="100">
        <f>-46%*I51</f>
        <v>-1</v>
      </c>
      <c r="J49" s="100"/>
      <c r="K49" s="100"/>
      <c r="L49" s="121">
        <f>-50%*L51</f>
        <v>-1</v>
      </c>
      <c r="M49" s="100">
        <f>-43%*M51</f>
        <v>-1</v>
      </c>
      <c r="N49" s="100">
        <f>-47.5%*N51</f>
        <v>-0.99999999999999989</v>
      </c>
      <c r="O49" s="100"/>
      <c r="P49" s="100"/>
      <c r="Q49" s="121">
        <f>-50%*Q51</f>
        <v>-1</v>
      </c>
      <c r="R49" s="100">
        <f>-43%*R51</f>
        <v>-1</v>
      </c>
      <c r="S49" s="100">
        <f>-47.5%*S51</f>
        <v>-0.99999999999999989</v>
      </c>
      <c r="T49" s="100"/>
      <c r="U49" s="100"/>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row>
    <row r="50" spans="1:53">
      <c r="A50" s="128"/>
      <c r="B50" s="438"/>
      <c r="C50" s="439"/>
      <c r="D50" s="437"/>
      <c r="E50" s="437"/>
      <c r="F50" s="232"/>
      <c r="G50" s="101" t="s">
        <v>216</v>
      </c>
      <c r="H50" s="101" t="s">
        <v>204</v>
      </c>
      <c r="I50" s="101" t="s">
        <v>205</v>
      </c>
      <c r="J50" s="101" t="s">
        <v>188</v>
      </c>
      <c r="K50" s="101" t="s">
        <v>188</v>
      </c>
      <c r="L50" s="101" t="s">
        <v>216</v>
      </c>
      <c r="M50" s="101" t="s">
        <v>204</v>
      </c>
      <c r="N50" s="101" t="s">
        <v>205</v>
      </c>
      <c r="O50" s="101" t="s">
        <v>188</v>
      </c>
      <c r="P50" s="101" t="s">
        <v>188</v>
      </c>
      <c r="Q50" s="101" t="s">
        <v>216</v>
      </c>
      <c r="R50" s="101" t="s">
        <v>204</v>
      </c>
      <c r="S50" s="101" t="s">
        <v>205</v>
      </c>
      <c r="T50" s="101" t="s">
        <v>188</v>
      </c>
      <c r="U50" s="101" t="s">
        <v>188</v>
      </c>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row>
    <row r="51" spans="1:53" ht="15" customHeight="1">
      <c r="A51" s="128"/>
      <c r="B51" s="438"/>
      <c r="C51" s="439"/>
      <c r="D51" s="440" t="s">
        <v>217</v>
      </c>
      <c r="E51" s="441"/>
      <c r="F51" s="232" t="s">
        <v>145</v>
      </c>
      <c r="G51" s="124">
        <f>1/50%</f>
        <v>2</v>
      </c>
      <c r="H51" s="100">
        <f>1/43%</f>
        <v>2.3255813953488373</v>
      </c>
      <c r="I51" s="100">
        <f>1/46%</f>
        <v>2.1739130434782608</v>
      </c>
      <c r="J51" s="100"/>
      <c r="K51" s="100"/>
      <c r="L51" s="124">
        <f>1/50%</f>
        <v>2</v>
      </c>
      <c r="M51" s="100">
        <f>1/43%</f>
        <v>2.3255813953488373</v>
      </c>
      <c r="N51" s="100">
        <f>1/47.5%</f>
        <v>2.1052631578947367</v>
      </c>
      <c r="O51" s="100"/>
      <c r="P51" s="100"/>
      <c r="Q51" s="124">
        <f>1/50%</f>
        <v>2</v>
      </c>
      <c r="R51" s="100">
        <f>1/43%</f>
        <v>2.3255813953488373</v>
      </c>
      <c r="S51" s="100">
        <f>1/47.5%</f>
        <v>2.1052631578947367</v>
      </c>
      <c r="T51" s="100"/>
      <c r="U51" s="100"/>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row>
    <row r="52" spans="1:53">
      <c r="A52" s="128"/>
      <c r="B52" s="438"/>
      <c r="C52" s="439"/>
      <c r="D52" s="442"/>
      <c r="E52" s="443"/>
      <c r="F52" s="232"/>
      <c r="G52" s="101" t="s">
        <v>216</v>
      </c>
      <c r="H52" s="101" t="s">
        <v>204</v>
      </c>
      <c r="I52" s="101" t="s">
        <v>205</v>
      </c>
      <c r="J52" s="101" t="s">
        <v>188</v>
      </c>
      <c r="K52" s="101" t="s">
        <v>188</v>
      </c>
      <c r="L52" s="101" t="s">
        <v>216</v>
      </c>
      <c r="M52" s="101" t="s">
        <v>204</v>
      </c>
      <c r="N52" s="101" t="s">
        <v>205</v>
      </c>
      <c r="O52" s="101" t="s">
        <v>188</v>
      </c>
      <c r="P52" s="101" t="s">
        <v>188</v>
      </c>
      <c r="Q52" s="101" t="s">
        <v>216</v>
      </c>
      <c r="R52" s="101" t="s">
        <v>204</v>
      </c>
      <c r="S52" s="101" t="s">
        <v>205</v>
      </c>
      <c r="T52" s="101" t="s">
        <v>188</v>
      </c>
      <c r="U52" s="101" t="s">
        <v>188</v>
      </c>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row>
    <row r="53" spans="1:53">
      <c r="A53" s="128"/>
      <c r="B53" s="438"/>
      <c r="C53" s="439"/>
      <c r="D53" s="437" t="s">
        <v>218</v>
      </c>
      <c r="E53" s="437"/>
      <c r="F53" s="232" t="s">
        <v>145</v>
      </c>
      <c r="G53" s="91">
        <f>-G51*40%</f>
        <v>-0.8</v>
      </c>
      <c r="H53" s="100">
        <f>-H51*42%</f>
        <v>-0.9767441860465117</v>
      </c>
      <c r="I53" s="100">
        <f>-I51*34%</f>
        <v>-0.73913043478260876</v>
      </c>
      <c r="J53" s="100"/>
      <c r="K53" s="100"/>
      <c r="L53" s="91">
        <f>-L51*40%</f>
        <v>-0.8</v>
      </c>
      <c r="M53" s="100">
        <f>-M51*42%</f>
        <v>-0.9767441860465117</v>
      </c>
      <c r="N53" s="100">
        <f>-N51*32.5%</f>
        <v>-0.68421052631578949</v>
      </c>
      <c r="O53" s="100"/>
      <c r="P53" s="100"/>
      <c r="Q53" s="91">
        <f>-Q51*40%</f>
        <v>-0.8</v>
      </c>
      <c r="R53" s="100">
        <f>-R51*42%</f>
        <v>-0.9767441860465117</v>
      </c>
      <c r="S53" s="100">
        <f>-S51*32.5%</f>
        <v>-0.68421052631578949</v>
      </c>
      <c r="T53" s="100"/>
      <c r="U53" s="100"/>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row>
    <row r="54" spans="1:53">
      <c r="A54" s="128"/>
      <c r="B54" s="438"/>
      <c r="C54" s="439"/>
      <c r="D54" s="437"/>
      <c r="E54" s="437"/>
      <c r="F54" s="232"/>
      <c r="G54" s="101" t="s">
        <v>216</v>
      </c>
      <c r="H54" s="101" t="s">
        <v>204</v>
      </c>
      <c r="I54" s="101" t="s">
        <v>205</v>
      </c>
      <c r="J54" s="101" t="s">
        <v>188</v>
      </c>
      <c r="K54" s="101" t="s">
        <v>188</v>
      </c>
      <c r="L54" s="101" t="s">
        <v>216</v>
      </c>
      <c r="M54" s="101" t="s">
        <v>204</v>
      </c>
      <c r="N54" s="101" t="s">
        <v>205</v>
      </c>
      <c r="O54" s="101" t="s">
        <v>188</v>
      </c>
      <c r="P54" s="101" t="s">
        <v>188</v>
      </c>
      <c r="Q54" s="101" t="s">
        <v>216</v>
      </c>
      <c r="R54" s="101" t="s">
        <v>204</v>
      </c>
      <c r="S54" s="101" t="s">
        <v>205</v>
      </c>
      <c r="T54" s="101" t="s">
        <v>188</v>
      </c>
      <c r="U54" s="101" t="s">
        <v>188</v>
      </c>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row>
    <row r="55" spans="1:53">
      <c r="A55" s="128"/>
      <c r="B55" s="438"/>
      <c r="C55" s="439"/>
      <c r="D55" s="437" t="s">
        <v>219</v>
      </c>
      <c r="E55" s="437"/>
      <c r="F55" s="232" t="s">
        <v>145</v>
      </c>
      <c r="G55" s="91"/>
      <c r="H55" s="100"/>
      <c r="I55" s="100"/>
      <c r="J55" s="100"/>
      <c r="K55" s="100"/>
      <c r="L55" s="91"/>
      <c r="M55" s="100"/>
      <c r="N55" s="100"/>
      <c r="O55" s="100"/>
      <c r="P55" s="100"/>
      <c r="Q55" s="91"/>
      <c r="R55" s="100"/>
      <c r="S55" s="100"/>
      <c r="T55" s="100"/>
      <c r="U55" s="100"/>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row>
    <row r="56" spans="1:53">
      <c r="A56" s="128"/>
      <c r="B56" s="444"/>
      <c r="C56" s="445"/>
      <c r="D56" s="437"/>
      <c r="E56" s="437"/>
      <c r="F56" s="232"/>
      <c r="G56" s="101"/>
      <c r="H56" s="101" t="s">
        <v>188</v>
      </c>
      <c r="I56" s="101" t="s">
        <v>188</v>
      </c>
      <c r="J56" s="101" t="s">
        <v>188</v>
      </c>
      <c r="K56" s="101" t="s">
        <v>188</v>
      </c>
      <c r="L56" s="101"/>
      <c r="M56" s="101" t="s">
        <v>188</v>
      </c>
      <c r="N56" s="101" t="s">
        <v>188</v>
      </c>
      <c r="O56" s="101" t="s">
        <v>188</v>
      </c>
      <c r="P56" s="101" t="s">
        <v>188</v>
      </c>
      <c r="Q56" s="101"/>
      <c r="R56" s="101" t="s">
        <v>188</v>
      </c>
      <c r="S56" s="101" t="s">
        <v>188</v>
      </c>
      <c r="T56" s="101" t="s">
        <v>188</v>
      </c>
      <c r="U56" s="101" t="s">
        <v>188</v>
      </c>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row>
    <row r="57" spans="1:53" ht="326.25" customHeight="1">
      <c r="A57" s="128"/>
      <c r="B57" s="431" t="s">
        <v>220</v>
      </c>
      <c r="C57" s="431"/>
      <c r="D57" s="434" t="s">
        <v>221</v>
      </c>
      <c r="E57" s="434"/>
      <c r="F57" s="434"/>
      <c r="G57" s="434"/>
      <c r="H57" s="434"/>
      <c r="I57" s="434"/>
      <c r="J57" s="434"/>
      <c r="K57" s="434"/>
      <c r="L57" s="434"/>
      <c r="M57" s="434"/>
      <c r="N57" s="434"/>
      <c r="O57" s="434"/>
      <c r="P57" s="434"/>
      <c r="Q57" s="434"/>
      <c r="R57" s="434"/>
      <c r="S57" s="434"/>
      <c r="T57" s="434"/>
      <c r="U57" s="434"/>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BA57" s="106" t="str">
        <f>D57</f>
        <v xml:space="preserve">Overview:
The electrical efficiency of existing combined cycle gas turbines in different OECD countries ranges between 39% and 61% (IEA, 2015). Depending on capacity of the plant, generally lower efficiencies are found for smaller units and higher efficiencies for larger units (Gasterra, 2008). 
The electrical efficiency of a CHP plant can only improve marginally due to further technical optimizations. The maximum possible efficiency of any heat engine is defined as the Carnot efficiency, which is not obtainable in practice. 
According to ETRI (2014) current combined cycle power plants used for cogeneration have a typical electrical efficiency of 59% at peak electrical load and a thermal efficiency of 46% at peak thermal load (ETRI, 2014). Peak load efficiency means the efficiency if the plant maximizes one of its outputs. In case of CHP, a higher heat output lowers the electricity output and vice versa.
Ratios (used to determine min.-max. range in table above):
• ECN (2011) indicates a 57% electrical efficiency and (possible) thermal efficiency of 40% for a gas-fired CHP plant used for electricity production and district heating (ECN, 2011). Disconnecting 0,4GJth at 120 °C per GJ natural gas input results in a decrease of electricicity production from 0,57GJe to 0,5GJe (ECN, 2011). For 2020, 2030 and 2050 the same values are assumed.
• Energy Matters (2012) indicates a 42% thermal efficiency and a 43% electrical efficiency for a gas-fired combined cycle CHP used for large scale district heating (Energy Matters, 2012). For 2020, 2030 and 2050 the same values are assumed.
• IEA ETSAP (2010) indicates an electrical efficiency of 42-47% for a natural gas-fired combined cycle CHP and a thermal efficiency (steam) of 33-38% (IEA ETSAP, 2010). The 2020 projection is  an electrical efficiency of 44-48% (46%) and a thermal efficiency of 32-36% (34%). The 2030 projection is  an electrical efficiency of 46-49% (47,5%) and a thermal efficiency of 31-34% (32,5%) (IEA ETSAP, 2010). For 2050 the same efficiencies as 2030 are assumed.
Other ratios:
• ETRI (2014) presents energy efficiencies of a CCGT advanced CHP (ETRI, 2014). Efficiencies at peak thermal load or peak electrical load are given in the report, which means that the plant maximizes either its heat or electricity output. In 2020, the max. thermal efficiency is 46% and the max. electrical efficiency is 59% (ETRI, 2014). In 2030, the max. thermal efficiency is 47% and the max. electrical efficiency is 61% (ETRI, 2014). In 2050, the max. thermal efficiency is 49% and the max. electrical efficiency is 63% (ETRI, 2014). The ETRI report does not give (max.) heat efficiency when (max.) electrical efficiency is given and vice versa.
</v>
      </c>
    </row>
    <row r="58" spans="1:53" ht="21" customHeight="1">
      <c r="A58" s="128"/>
      <c r="B58" s="224" t="s">
        <v>222</v>
      </c>
      <c r="C58" s="225"/>
      <c r="D58" s="225"/>
      <c r="E58" s="225"/>
      <c r="F58" s="225"/>
      <c r="G58" s="225"/>
      <c r="H58" s="225"/>
      <c r="I58" s="225"/>
      <c r="J58" s="225"/>
      <c r="K58" s="225"/>
      <c r="L58" s="225"/>
      <c r="M58" s="225"/>
      <c r="N58" s="225"/>
      <c r="O58" s="225"/>
      <c r="P58" s="225"/>
      <c r="Q58" s="225"/>
      <c r="R58" s="225"/>
      <c r="S58" s="225"/>
      <c r="T58" s="225"/>
      <c r="U58" s="225"/>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row>
    <row r="59" spans="1:53" ht="16.5" customHeight="1">
      <c r="A59" s="128"/>
      <c r="B59" s="435" t="s">
        <v>223</v>
      </c>
      <c r="C59" s="436"/>
      <c r="D59" s="226" t="s">
        <v>224</v>
      </c>
      <c r="E59" s="227"/>
      <c r="F59" s="230" t="s">
        <v>213</v>
      </c>
      <c r="G59" s="217" t="s">
        <v>190</v>
      </c>
      <c r="H59" s="217"/>
      <c r="I59" s="217"/>
      <c r="J59" s="217"/>
      <c r="K59" s="217"/>
      <c r="L59" s="218">
        <v>2030</v>
      </c>
      <c r="M59" s="218"/>
      <c r="N59" s="218"/>
      <c r="O59" s="218"/>
      <c r="P59" s="218"/>
      <c r="Q59" s="217">
        <v>2050</v>
      </c>
      <c r="R59" s="217"/>
      <c r="S59" s="217"/>
      <c r="T59" s="217"/>
      <c r="U59" s="217"/>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row>
    <row r="60" spans="1:53">
      <c r="A60" s="128"/>
      <c r="B60" s="438"/>
      <c r="C60" s="439"/>
      <c r="D60" s="228"/>
      <c r="E60" s="229"/>
      <c r="F60" s="231"/>
      <c r="G60" s="158" t="s">
        <v>181</v>
      </c>
      <c r="H60" s="158" t="s">
        <v>182</v>
      </c>
      <c r="I60" s="158" t="s">
        <v>183</v>
      </c>
      <c r="J60" s="158" t="s">
        <v>184</v>
      </c>
      <c r="K60" s="158" t="s">
        <v>185</v>
      </c>
      <c r="L60" s="159" t="s">
        <v>181</v>
      </c>
      <c r="M60" s="159" t="s">
        <v>182</v>
      </c>
      <c r="N60" s="159" t="s">
        <v>183</v>
      </c>
      <c r="O60" s="159" t="s">
        <v>184</v>
      </c>
      <c r="P60" s="159" t="s">
        <v>185</v>
      </c>
      <c r="Q60" s="158" t="s">
        <v>181</v>
      </c>
      <c r="R60" s="158" t="s">
        <v>182</v>
      </c>
      <c r="S60" s="158" t="s">
        <v>183</v>
      </c>
      <c r="T60" s="158" t="s">
        <v>184</v>
      </c>
      <c r="U60" s="158" t="s">
        <v>185</v>
      </c>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row>
    <row r="61" spans="1:53" ht="15.75" customHeight="1">
      <c r="A61" s="128"/>
      <c r="B61" s="438"/>
      <c r="C61" s="439"/>
      <c r="D61" s="437" t="s">
        <v>225</v>
      </c>
      <c r="E61" s="437"/>
      <c r="F61" s="446" t="s">
        <v>225</v>
      </c>
      <c r="G61" s="91"/>
      <c r="H61" s="100"/>
      <c r="I61" s="100"/>
      <c r="J61" s="100"/>
      <c r="K61" s="100"/>
      <c r="L61" s="91"/>
      <c r="M61" s="100"/>
      <c r="N61" s="100"/>
      <c r="O61" s="100"/>
      <c r="P61" s="100"/>
      <c r="Q61" s="91"/>
      <c r="R61" s="100"/>
      <c r="S61" s="100"/>
      <c r="T61" s="100"/>
      <c r="U61" s="100"/>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row>
    <row r="62" spans="1:53">
      <c r="A62" s="128"/>
      <c r="B62" s="438"/>
      <c r="C62" s="439"/>
      <c r="D62" s="437"/>
      <c r="E62" s="437"/>
      <c r="F62" s="446"/>
      <c r="G62" s="102" t="s">
        <v>188</v>
      </c>
      <c r="H62" s="101" t="s">
        <v>188</v>
      </c>
      <c r="I62" s="101" t="s">
        <v>188</v>
      </c>
      <c r="J62" s="101" t="s">
        <v>188</v>
      </c>
      <c r="K62" s="101" t="s">
        <v>188</v>
      </c>
      <c r="L62" s="102" t="s">
        <v>188</v>
      </c>
      <c r="M62" s="101" t="s">
        <v>188</v>
      </c>
      <c r="N62" s="101" t="s">
        <v>188</v>
      </c>
      <c r="O62" s="101" t="s">
        <v>188</v>
      </c>
      <c r="P62" s="101" t="s">
        <v>188</v>
      </c>
      <c r="Q62" s="102" t="s">
        <v>188</v>
      </c>
      <c r="R62" s="101" t="s">
        <v>188</v>
      </c>
      <c r="S62" s="101" t="s">
        <v>188</v>
      </c>
      <c r="T62" s="101" t="s">
        <v>188</v>
      </c>
      <c r="U62" s="101" t="s">
        <v>188</v>
      </c>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row>
    <row r="63" spans="1:53">
      <c r="A63" s="128"/>
      <c r="B63" s="438"/>
      <c r="C63" s="439"/>
      <c r="D63" s="437" t="s">
        <v>225</v>
      </c>
      <c r="E63" s="437"/>
      <c r="F63" s="446" t="s">
        <v>225</v>
      </c>
      <c r="G63" s="91"/>
      <c r="H63" s="100"/>
      <c r="I63" s="100"/>
      <c r="J63" s="100"/>
      <c r="K63" s="100"/>
      <c r="L63" s="91"/>
      <c r="M63" s="100"/>
      <c r="N63" s="100"/>
      <c r="O63" s="100"/>
      <c r="P63" s="100"/>
      <c r="Q63" s="91"/>
      <c r="R63" s="100"/>
      <c r="S63" s="100"/>
      <c r="T63" s="100"/>
      <c r="U63" s="100"/>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row>
    <row r="64" spans="1:53">
      <c r="A64" s="128"/>
      <c r="B64" s="444"/>
      <c r="C64" s="445"/>
      <c r="D64" s="437"/>
      <c r="E64" s="437"/>
      <c r="F64" s="446"/>
      <c r="G64" s="101" t="s">
        <v>188</v>
      </c>
      <c r="H64" s="101" t="s">
        <v>188</v>
      </c>
      <c r="I64" s="101" t="s">
        <v>188</v>
      </c>
      <c r="J64" s="101" t="s">
        <v>188</v>
      </c>
      <c r="K64" s="101" t="s">
        <v>188</v>
      </c>
      <c r="L64" s="101" t="s">
        <v>188</v>
      </c>
      <c r="M64" s="101" t="s">
        <v>188</v>
      </c>
      <c r="N64" s="101" t="s">
        <v>188</v>
      </c>
      <c r="O64" s="101" t="s">
        <v>188</v>
      </c>
      <c r="P64" s="101" t="s">
        <v>188</v>
      </c>
      <c r="Q64" s="101" t="s">
        <v>188</v>
      </c>
      <c r="R64" s="101" t="s">
        <v>188</v>
      </c>
      <c r="S64" s="101" t="s">
        <v>188</v>
      </c>
      <c r="T64" s="101" t="s">
        <v>188</v>
      </c>
      <c r="U64" s="101" t="s">
        <v>188</v>
      </c>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row>
    <row r="65" spans="1:53" ht="40.5" customHeight="1">
      <c r="A65" s="128"/>
      <c r="B65" s="431" t="s">
        <v>226</v>
      </c>
      <c r="C65" s="431"/>
      <c r="D65" s="434" t="s">
        <v>227</v>
      </c>
      <c r="E65" s="434"/>
      <c r="F65" s="434"/>
      <c r="G65" s="434"/>
      <c r="H65" s="434"/>
      <c r="I65" s="434"/>
      <c r="J65" s="434"/>
      <c r="K65" s="434"/>
      <c r="L65" s="434"/>
      <c r="M65" s="434"/>
      <c r="N65" s="434"/>
      <c r="O65" s="434"/>
      <c r="P65" s="434"/>
      <c r="Q65" s="434"/>
      <c r="R65" s="434"/>
      <c r="S65" s="434"/>
      <c r="T65" s="434"/>
      <c r="U65" s="434"/>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BA65" s="106" t="str">
        <f>D65</f>
        <v>Explain here</v>
      </c>
    </row>
    <row r="66" spans="1:53" ht="21" customHeight="1">
      <c r="A66" s="128"/>
      <c r="B66" s="223" t="s">
        <v>228</v>
      </c>
      <c r="C66" s="223"/>
      <c r="D66" s="223"/>
      <c r="E66" s="223"/>
      <c r="F66" s="223"/>
      <c r="G66" s="223"/>
      <c r="H66" s="223"/>
      <c r="I66" s="223"/>
      <c r="J66" s="223"/>
      <c r="K66" s="223"/>
      <c r="L66" s="223"/>
      <c r="M66" s="223"/>
      <c r="N66" s="223"/>
      <c r="O66" s="223"/>
      <c r="P66" s="223"/>
      <c r="Q66" s="223"/>
      <c r="R66" s="223"/>
      <c r="S66" s="223"/>
      <c r="T66" s="223"/>
      <c r="U66" s="223"/>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row>
    <row r="67" spans="1:53" ht="16.5" customHeight="1">
      <c r="A67" s="128"/>
      <c r="B67" s="447" t="s">
        <v>116</v>
      </c>
      <c r="C67" s="447"/>
      <c r="D67" s="222" t="s">
        <v>229</v>
      </c>
      <c r="E67" s="222"/>
      <c r="F67" s="222" t="s">
        <v>213</v>
      </c>
      <c r="G67" s="217" t="s">
        <v>190</v>
      </c>
      <c r="H67" s="217"/>
      <c r="I67" s="217"/>
      <c r="J67" s="217"/>
      <c r="K67" s="217"/>
      <c r="L67" s="218">
        <v>2030</v>
      </c>
      <c r="M67" s="218"/>
      <c r="N67" s="218"/>
      <c r="O67" s="218"/>
      <c r="P67" s="218"/>
      <c r="Q67" s="217">
        <v>2050</v>
      </c>
      <c r="R67" s="217"/>
      <c r="S67" s="217"/>
      <c r="T67" s="217"/>
      <c r="U67" s="217"/>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row>
    <row r="68" spans="1:53" ht="15.75" customHeight="1">
      <c r="A68" s="128"/>
      <c r="B68" s="447"/>
      <c r="C68" s="447"/>
      <c r="D68" s="222"/>
      <c r="E68" s="222"/>
      <c r="F68" s="222"/>
      <c r="G68" s="158" t="s">
        <v>181</v>
      </c>
      <c r="H68" s="158" t="s">
        <v>182</v>
      </c>
      <c r="I68" s="158" t="s">
        <v>183</v>
      </c>
      <c r="J68" s="158" t="s">
        <v>184</v>
      </c>
      <c r="K68" s="158" t="s">
        <v>185</v>
      </c>
      <c r="L68" s="159" t="s">
        <v>181</v>
      </c>
      <c r="M68" s="159" t="s">
        <v>182</v>
      </c>
      <c r="N68" s="159" t="s">
        <v>183</v>
      </c>
      <c r="O68" s="159" t="s">
        <v>184</v>
      </c>
      <c r="P68" s="159" t="s">
        <v>185</v>
      </c>
      <c r="Q68" s="158" t="s">
        <v>181</v>
      </c>
      <c r="R68" s="158" t="s">
        <v>182</v>
      </c>
      <c r="S68" s="158" t="s">
        <v>183</v>
      </c>
      <c r="T68" s="158" t="s">
        <v>184</v>
      </c>
      <c r="U68" s="158" t="s">
        <v>185</v>
      </c>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row>
    <row r="69" spans="1:53" ht="15.75" customHeight="1">
      <c r="A69" s="128"/>
      <c r="B69" s="447"/>
      <c r="C69" s="447"/>
      <c r="D69" s="437" t="s">
        <v>219</v>
      </c>
      <c r="E69" s="437"/>
      <c r="F69" s="448" t="s">
        <v>219</v>
      </c>
      <c r="G69" s="91"/>
      <c r="H69" s="100"/>
      <c r="I69" s="100"/>
      <c r="J69" s="100"/>
      <c r="K69" s="100"/>
      <c r="L69" s="91"/>
      <c r="M69" s="100"/>
      <c r="N69" s="100"/>
      <c r="O69" s="100"/>
      <c r="P69" s="100"/>
      <c r="Q69" s="91"/>
      <c r="R69" s="100"/>
      <c r="S69" s="100"/>
      <c r="T69" s="100"/>
      <c r="U69" s="100"/>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row>
    <row r="70" spans="1:53" ht="15.75" customHeight="1">
      <c r="A70" s="128"/>
      <c r="B70" s="447"/>
      <c r="C70" s="447"/>
      <c r="D70" s="437"/>
      <c r="E70" s="437"/>
      <c r="F70" s="448"/>
      <c r="G70" s="102" t="s">
        <v>188</v>
      </c>
      <c r="H70" s="101" t="s">
        <v>188</v>
      </c>
      <c r="I70" s="101" t="s">
        <v>188</v>
      </c>
      <c r="J70" s="101" t="s">
        <v>188</v>
      </c>
      <c r="K70" s="101" t="s">
        <v>188</v>
      </c>
      <c r="L70" s="102" t="s">
        <v>188</v>
      </c>
      <c r="M70" s="101" t="s">
        <v>188</v>
      </c>
      <c r="N70" s="101" t="s">
        <v>188</v>
      </c>
      <c r="O70" s="101" t="s">
        <v>188</v>
      </c>
      <c r="P70" s="101" t="s">
        <v>188</v>
      </c>
      <c r="Q70" s="102" t="s">
        <v>188</v>
      </c>
      <c r="R70" s="101" t="s">
        <v>188</v>
      </c>
      <c r="S70" s="101" t="s">
        <v>188</v>
      </c>
      <c r="T70" s="101" t="s">
        <v>188</v>
      </c>
      <c r="U70" s="101" t="s">
        <v>188</v>
      </c>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row>
    <row r="71" spans="1:53" ht="15.75" customHeight="1">
      <c r="A71" s="128"/>
      <c r="B71" s="447"/>
      <c r="C71" s="447"/>
      <c r="D71" s="437" t="s">
        <v>219</v>
      </c>
      <c r="E71" s="437"/>
      <c r="F71" s="448" t="s">
        <v>219</v>
      </c>
      <c r="G71" s="91"/>
      <c r="H71" s="100"/>
      <c r="I71" s="100"/>
      <c r="J71" s="100"/>
      <c r="K71" s="100"/>
      <c r="L71" s="91"/>
      <c r="M71" s="100"/>
      <c r="N71" s="100"/>
      <c r="O71" s="100"/>
      <c r="P71" s="100"/>
      <c r="Q71" s="91"/>
      <c r="R71" s="100"/>
      <c r="S71" s="100"/>
      <c r="T71" s="100"/>
      <c r="U71" s="100"/>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row>
    <row r="72" spans="1:53" ht="15.75" customHeight="1">
      <c r="A72" s="128"/>
      <c r="B72" s="447"/>
      <c r="C72" s="447"/>
      <c r="D72" s="437"/>
      <c r="E72" s="437"/>
      <c r="F72" s="448"/>
      <c r="G72" s="101" t="s">
        <v>188</v>
      </c>
      <c r="H72" s="101" t="s">
        <v>188</v>
      </c>
      <c r="I72" s="101" t="s">
        <v>188</v>
      </c>
      <c r="J72" s="101" t="s">
        <v>188</v>
      </c>
      <c r="K72" s="101" t="s">
        <v>188</v>
      </c>
      <c r="L72" s="101" t="s">
        <v>188</v>
      </c>
      <c r="M72" s="101" t="s">
        <v>188</v>
      </c>
      <c r="N72" s="101" t="s">
        <v>188</v>
      </c>
      <c r="O72" s="101" t="s">
        <v>188</v>
      </c>
      <c r="P72" s="101" t="s">
        <v>188</v>
      </c>
      <c r="Q72" s="101" t="s">
        <v>188</v>
      </c>
      <c r="R72" s="101" t="s">
        <v>188</v>
      </c>
      <c r="S72" s="101" t="s">
        <v>188</v>
      </c>
      <c r="T72" s="101" t="s">
        <v>188</v>
      </c>
      <c r="U72" s="101" t="s">
        <v>188</v>
      </c>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row>
    <row r="73" spans="1:53" ht="15.75" customHeight="1">
      <c r="A73" s="128"/>
      <c r="B73" s="447"/>
      <c r="C73" s="447"/>
      <c r="D73" s="437" t="s">
        <v>219</v>
      </c>
      <c r="E73" s="437"/>
      <c r="F73" s="448" t="s">
        <v>219</v>
      </c>
      <c r="G73" s="91"/>
      <c r="H73" s="100"/>
      <c r="I73" s="100"/>
      <c r="J73" s="100"/>
      <c r="K73" s="100"/>
      <c r="L73" s="91"/>
      <c r="M73" s="100"/>
      <c r="N73" s="100"/>
      <c r="O73" s="100"/>
      <c r="P73" s="100"/>
      <c r="Q73" s="91"/>
      <c r="R73" s="100"/>
      <c r="S73" s="100"/>
      <c r="T73" s="100"/>
      <c r="U73" s="100"/>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row>
    <row r="74" spans="1:53" ht="15.75" customHeight="1">
      <c r="A74" s="128"/>
      <c r="B74" s="447"/>
      <c r="C74" s="447"/>
      <c r="D74" s="437"/>
      <c r="E74" s="437"/>
      <c r="F74" s="448"/>
      <c r="G74" s="101" t="s">
        <v>188</v>
      </c>
      <c r="H74" s="101" t="s">
        <v>188</v>
      </c>
      <c r="I74" s="101" t="s">
        <v>188</v>
      </c>
      <c r="J74" s="101" t="s">
        <v>188</v>
      </c>
      <c r="K74" s="101" t="s">
        <v>188</v>
      </c>
      <c r="L74" s="101" t="s">
        <v>188</v>
      </c>
      <c r="M74" s="101" t="s">
        <v>188</v>
      </c>
      <c r="N74" s="101" t="s">
        <v>188</v>
      </c>
      <c r="O74" s="101" t="s">
        <v>188</v>
      </c>
      <c r="P74" s="101" t="s">
        <v>188</v>
      </c>
      <c r="Q74" s="101" t="s">
        <v>188</v>
      </c>
      <c r="R74" s="101" t="s">
        <v>188</v>
      </c>
      <c r="S74" s="101" t="s">
        <v>188</v>
      </c>
      <c r="T74" s="101" t="s">
        <v>188</v>
      </c>
      <c r="U74" s="101" t="s">
        <v>188</v>
      </c>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row>
    <row r="75" spans="1:53" ht="15.75" customHeight="1">
      <c r="A75" s="128"/>
      <c r="B75" s="447"/>
      <c r="C75" s="447"/>
      <c r="D75" s="437" t="s">
        <v>219</v>
      </c>
      <c r="E75" s="437"/>
      <c r="F75" s="448" t="s">
        <v>219</v>
      </c>
      <c r="G75" s="91"/>
      <c r="H75" s="100"/>
      <c r="I75" s="100"/>
      <c r="J75" s="100"/>
      <c r="K75" s="100"/>
      <c r="L75" s="91"/>
      <c r="M75" s="100"/>
      <c r="N75" s="100"/>
      <c r="O75" s="100"/>
      <c r="P75" s="100"/>
      <c r="Q75" s="91"/>
      <c r="R75" s="100"/>
      <c r="S75" s="100"/>
      <c r="T75" s="100"/>
      <c r="U75" s="100"/>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row>
    <row r="76" spans="1:53" ht="16.5" customHeight="1">
      <c r="A76" s="128"/>
      <c r="B76" s="447"/>
      <c r="C76" s="447"/>
      <c r="D76" s="437"/>
      <c r="E76" s="437"/>
      <c r="F76" s="448"/>
      <c r="G76" s="101" t="s">
        <v>188</v>
      </c>
      <c r="H76" s="101" t="s">
        <v>188</v>
      </c>
      <c r="I76" s="101" t="s">
        <v>188</v>
      </c>
      <c r="J76" s="101" t="s">
        <v>188</v>
      </c>
      <c r="K76" s="101" t="s">
        <v>188</v>
      </c>
      <c r="L76" s="101" t="s">
        <v>188</v>
      </c>
      <c r="M76" s="101" t="s">
        <v>188</v>
      </c>
      <c r="N76" s="101" t="s">
        <v>188</v>
      </c>
      <c r="O76" s="101" t="s">
        <v>188</v>
      </c>
      <c r="P76" s="101" t="s">
        <v>188</v>
      </c>
      <c r="Q76" s="101" t="s">
        <v>188</v>
      </c>
      <c r="R76" s="101" t="s">
        <v>188</v>
      </c>
      <c r="S76" s="101" t="s">
        <v>188</v>
      </c>
      <c r="T76" s="101" t="s">
        <v>188</v>
      </c>
      <c r="U76" s="101" t="s">
        <v>188</v>
      </c>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row>
    <row r="77" spans="1:53" ht="40.5" customHeight="1">
      <c r="A77" s="128"/>
      <c r="B77" s="431" t="s">
        <v>230</v>
      </c>
      <c r="C77" s="431"/>
      <c r="D77" s="219" t="s">
        <v>231</v>
      </c>
      <c r="E77" s="220"/>
      <c r="F77" s="220"/>
      <c r="G77" s="220"/>
      <c r="H77" s="220"/>
      <c r="I77" s="220"/>
      <c r="J77" s="220"/>
      <c r="K77" s="220"/>
      <c r="L77" s="220"/>
      <c r="M77" s="220"/>
      <c r="N77" s="220"/>
      <c r="O77" s="220"/>
      <c r="P77" s="220"/>
      <c r="Q77" s="220"/>
      <c r="R77" s="220"/>
      <c r="S77" s="220"/>
      <c r="T77" s="220"/>
      <c r="U77" s="221"/>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BA77" s="106" t="str">
        <f>D77</f>
        <v>Most of the NOx emissions are prevented due to the flue gas cleaner.</v>
      </c>
    </row>
    <row r="78" spans="1:53" ht="21" customHeight="1">
      <c r="A78" s="128"/>
      <c r="B78" s="204" t="s">
        <v>232</v>
      </c>
      <c r="C78" s="205"/>
      <c r="D78" s="205"/>
      <c r="E78" s="205"/>
      <c r="F78" s="205"/>
      <c r="G78" s="205"/>
      <c r="H78" s="205"/>
      <c r="I78" s="205"/>
      <c r="J78" s="205"/>
      <c r="K78" s="205"/>
      <c r="L78" s="205"/>
      <c r="M78" s="205"/>
      <c r="N78" s="205"/>
      <c r="O78" s="205"/>
      <c r="P78" s="205"/>
      <c r="Q78" s="205"/>
      <c r="R78" s="205"/>
      <c r="S78" s="205"/>
      <c r="T78" s="205"/>
      <c r="U78" s="206"/>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row>
    <row r="79" spans="1:53" ht="15.75" customHeight="1">
      <c r="A79" s="128"/>
      <c r="B79" s="207" t="s">
        <v>233</v>
      </c>
      <c r="C79" s="208"/>
      <c r="D79" s="211" t="s">
        <v>213</v>
      </c>
      <c r="E79" s="212"/>
      <c r="F79" s="213"/>
      <c r="G79" s="217" t="s">
        <v>190</v>
      </c>
      <c r="H79" s="217"/>
      <c r="I79" s="217"/>
      <c r="J79" s="217"/>
      <c r="K79" s="217"/>
      <c r="L79" s="218">
        <v>2030</v>
      </c>
      <c r="M79" s="218"/>
      <c r="N79" s="218"/>
      <c r="O79" s="218"/>
      <c r="P79" s="218"/>
      <c r="Q79" s="217">
        <v>2050</v>
      </c>
      <c r="R79" s="217"/>
      <c r="S79" s="217"/>
      <c r="T79" s="217"/>
      <c r="U79" s="217"/>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row>
    <row r="80" spans="1:53">
      <c r="A80" s="128"/>
      <c r="B80" s="209"/>
      <c r="C80" s="210"/>
      <c r="D80" s="214"/>
      <c r="E80" s="215"/>
      <c r="F80" s="216"/>
      <c r="G80" s="158" t="s">
        <v>181</v>
      </c>
      <c r="H80" s="158" t="s">
        <v>182</v>
      </c>
      <c r="I80" s="158" t="s">
        <v>183</v>
      </c>
      <c r="J80" s="158" t="s">
        <v>184</v>
      </c>
      <c r="K80" s="158" t="s">
        <v>185</v>
      </c>
      <c r="L80" s="159" t="s">
        <v>181</v>
      </c>
      <c r="M80" s="159" t="s">
        <v>182</v>
      </c>
      <c r="N80" s="159" t="s">
        <v>183</v>
      </c>
      <c r="O80" s="159" t="s">
        <v>184</v>
      </c>
      <c r="P80" s="159" t="s">
        <v>185</v>
      </c>
      <c r="Q80" s="158" t="s">
        <v>181</v>
      </c>
      <c r="R80" s="158" t="s">
        <v>182</v>
      </c>
      <c r="S80" s="158" t="s">
        <v>183</v>
      </c>
      <c r="T80" s="158" t="s">
        <v>184</v>
      </c>
      <c r="U80" s="158" t="s">
        <v>185</v>
      </c>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row>
    <row r="81" spans="1:53">
      <c r="A81" s="128"/>
      <c r="B81" s="199" t="s">
        <v>234</v>
      </c>
      <c r="C81" s="200"/>
      <c r="D81" s="203" t="s">
        <v>235</v>
      </c>
      <c r="E81" s="203"/>
      <c r="F81" s="203"/>
      <c r="G81" s="91">
        <v>0.18</v>
      </c>
      <c r="H81" s="141">
        <v>0.09</v>
      </c>
      <c r="I81" s="100"/>
      <c r="J81" s="100"/>
      <c r="K81" s="100"/>
      <c r="L81" s="91">
        <v>0.18</v>
      </c>
      <c r="M81" s="141">
        <v>0.09</v>
      </c>
      <c r="N81" s="100"/>
      <c r="O81" s="100"/>
      <c r="P81" s="100"/>
      <c r="Q81" s="91">
        <v>0.18</v>
      </c>
      <c r="R81" s="141">
        <v>0.09</v>
      </c>
      <c r="S81" s="100"/>
      <c r="T81" s="100"/>
      <c r="U81" s="100"/>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row>
    <row r="82" spans="1:53">
      <c r="A82" s="128"/>
      <c r="B82" s="201"/>
      <c r="C82" s="202"/>
      <c r="D82" s="203"/>
      <c r="E82" s="203"/>
      <c r="F82" s="203"/>
      <c r="G82" s="101" t="s">
        <v>216</v>
      </c>
      <c r="H82" s="101" t="s">
        <v>216</v>
      </c>
      <c r="I82" s="101" t="s">
        <v>188</v>
      </c>
      <c r="J82" s="101" t="s">
        <v>188</v>
      </c>
      <c r="K82" s="101" t="s">
        <v>188</v>
      </c>
      <c r="L82" s="101" t="s">
        <v>216</v>
      </c>
      <c r="M82" s="101" t="s">
        <v>216</v>
      </c>
      <c r="N82" s="101" t="s">
        <v>188</v>
      </c>
      <c r="O82" s="101" t="s">
        <v>188</v>
      </c>
      <c r="P82" s="101" t="s">
        <v>188</v>
      </c>
      <c r="Q82" s="101" t="s">
        <v>216</v>
      </c>
      <c r="R82" s="101" t="s">
        <v>216</v>
      </c>
      <c r="S82" s="101" t="s">
        <v>188</v>
      </c>
      <c r="T82" s="101" t="s">
        <v>188</v>
      </c>
      <c r="U82" s="101" t="s">
        <v>188</v>
      </c>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row>
    <row r="83" spans="1:53">
      <c r="A83" s="128"/>
      <c r="B83" s="199" t="s">
        <v>236</v>
      </c>
      <c r="C83" s="200"/>
      <c r="D83" s="203" t="s">
        <v>237</v>
      </c>
      <c r="E83" s="203"/>
      <c r="F83" s="203"/>
      <c r="G83" s="91">
        <v>0.01</v>
      </c>
      <c r="H83" s="100"/>
      <c r="I83" s="100"/>
      <c r="J83" s="100"/>
      <c r="K83" s="100"/>
      <c r="L83" s="91">
        <v>0.01</v>
      </c>
      <c r="M83" s="100"/>
      <c r="N83" s="100"/>
      <c r="O83" s="100"/>
      <c r="P83" s="100"/>
      <c r="Q83" s="91">
        <v>0.01</v>
      </c>
      <c r="R83" s="100"/>
      <c r="S83" s="100"/>
      <c r="T83" s="100"/>
      <c r="U83" s="100"/>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row>
    <row r="84" spans="1:53">
      <c r="A84" s="128"/>
      <c r="B84" s="201"/>
      <c r="C84" s="202"/>
      <c r="D84" s="203"/>
      <c r="E84" s="203"/>
      <c r="F84" s="203"/>
      <c r="G84" s="101" t="s">
        <v>203</v>
      </c>
      <c r="H84" s="101" t="s">
        <v>188</v>
      </c>
      <c r="I84" s="101" t="s">
        <v>188</v>
      </c>
      <c r="J84" s="101" t="s">
        <v>188</v>
      </c>
      <c r="K84" s="101" t="s">
        <v>188</v>
      </c>
      <c r="L84" s="101" t="s">
        <v>203</v>
      </c>
      <c r="M84" s="101" t="s">
        <v>188</v>
      </c>
      <c r="N84" s="101" t="s">
        <v>188</v>
      </c>
      <c r="O84" s="101" t="s">
        <v>188</v>
      </c>
      <c r="P84" s="101" t="s">
        <v>188</v>
      </c>
      <c r="Q84" s="101" t="s">
        <v>203</v>
      </c>
      <c r="R84" s="101" t="s">
        <v>188</v>
      </c>
      <c r="S84" s="101" t="s">
        <v>188</v>
      </c>
      <c r="T84" s="101" t="s">
        <v>188</v>
      </c>
      <c r="U84" s="101" t="s">
        <v>188</v>
      </c>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row>
    <row r="85" spans="1:53">
      <c r="A85" s="128"/>
      <c r="B85" s="199" t="s">
        <v>238</v>
      </c>
      <c r="C85" s="200"/>
      <c r="D85" s="203" t="s">
        <v>225</v>
      </c>
      <c r="E85" s="203"/>
      <c r="F85" s="203"/>
      <c r="G85" s="91"/>
      <c r="H85" s="100"/>
      <c r="I85" s="100"/>
      <c r="J85" s="100"/>
      <c r="K85" s="100"/>
      <c r="L85" s="91"/>
      <c r="M85" s="100"/>
      <c r="N85" s="100"/>
      <c r="O85" s="100"/>
      <c r="P85" s="100"/>
      <c r="Q85" s="91"/>
      <c r="R85" s="100"/>
      <c r="S85" s="100"/>
      <c r="T85" s="100"/>
      <c r="U85" s="100"/>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row>
    <row r="86" spans="1:53">
      <c r="A86" s="128"/>
      <c r="B86" s="201"/>
      <c r="C86" s="202"/>
      <c r="D86" s="203"/>
      <c r="E86" s="203"/>
      <c r="F86" s="203"/>
      <c r="G86" s="101"/>
      <c r="H86" s="101"/>
      <c r="I86" s="101"/>
      <c r="J86" s="101"/>
      <c r="K86" s="101"/>
      <c r="L86" s="101"/>
      <c r="M86" s="101"/>
      <c r="N86" s="101"/>
      <c r="O86" s="101"/>
      <c r="P86" s="101"/>
      <c r="Q86" s="101"/>
      <c r="R86" s="101"/>
      <c r="S86" s="101"/>
      <c r="T86" s="101"/>
      <c r="U86" s="101"/>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row>
    <row r="87" spans="1:53">
      <c r="A87" s="128"/>
      <c r="B87" s="199" t="s">
        <v>238</v>
      </c>
      <c r="C87" s="200"/>
      <c r="D87" s="203" t="s">
        <v>225</v>
      </c>
      <c r="E87" s="203"/>
      <c r="F87" s="203"/>
      <c r="G87" s="91"/>
      <c r="H87" s="100"/>
      <c r="I87" s="100"/>
      <c r="J87" s="100"/>
      <c r="K87" s="100"/>
      <c r="L87" s="91"/>
      <c r="M87" s="100"/>
      <c r="N87" s="100"/>
      <c r="O87" s="100"/>
      <c r="P87" s="100"/>
      <c r="Q87" s="91"/>
      <c r="R87" s="100"/>
      <c r="S87" s="100"/>
      <c r="T87" s="100"/>
      <c r="U87" s="100"/>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row>
    <row r="88" spans="1:53">
      <c r="A88" s="128"/>
      <c r="B88" s="201"/>
      <c r="C88" s="202"/>
      <c r="D88" s="203"/>
      <c r="E88" s="203"/>
      <c r="F88" s="203"/>
      <c r="G88" s="101"/>
      <c r="H88" s="101"/>
      <c r="I88" s="101"/>
      <c r="J88" s="101"/>
      <c r="K88" s="101"/>
      <c r="L88" s="101"/>
      <c r="M88" s="101"/>
      <c r="N88" s="101"/>
      <c r="O88" s="101"/>
      <c r="P88" s="101"/>
      <c r="Q88" s="101"/>
      <c r="R88" s="101"/>
      <c r="S88" s="101"/>
      <c r="T88" s="101"/>
      <c r="U88" s="101"/>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row>
    <row r="89" spans="1:53" ht="136.5" customHeight="1">
      <c r="A89" s="128"/>
      <c r="B89" s="431" t="s">
        <v>198</v>
      </c>
      <c r="C89" s="431"/>
      <c r="D89" s="428" t="s">
        <v>239</v>
      </c>
      <c r="E89" s="429"/>
      <c r="F89" s="429"/>
      <c r="G89" s="429"/>
      <c r="H89" s="429"/>
      <c r="I89" s="429"/>
      <c r="J89" s="429"/>
      <c r="K89" s="429"/>
      <c r="L89" s="429"/>
      <c r="M89" s="429"/>
      <c r="N89" s="429"/>
      <c r="O89" s="429"/>
      <c r="P89" s="429"/>
      <c r="Q89" s="429"/>
      <c r="R89" s="429"/>
      <c r="S89" s="429"/>
      <c r="T89" s="429"/>
      <c r="U89" s="430"/>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row>
    <row r="90" spans="1:53" ht="21" customHeight="1">
      <c r="A90" s="128"/>
      <c r="B90" s="204" t="s">
        <v>125</v>
      </c>
      <c r="C90" s="205"/>
      <c r="D90" s="205"/>
      <c r="E90" s="205"/>
      <c r="F90" s="205"/>
      <c r="G90" s="205"/>
      <c r="H90" s="205"/>
      <c r="I90" s="205"/>
      <c r="J90" s="205"/>
      <c r="K90" s="205"/>
      <c r="L90" s="205"/>
      <c r="M90" s="205"/>
      <c r="N90" s="205"/>
      <c r="O90" s="205"/>
      <c r="P90" s="205"/>
      <c r="Q90" s="205"/>
      <c r="R90" s="205"/>
      <c r="S90" s="205"/>
      <c r="T90" s="205"/>
      <c r="U90" s="206"/>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row>
    <row r="91" spans="1:53" ht="15" customHeight="1">
      <c r="A91" s="128"/>
      <c r="B91" s="79">
        <v>1</v>
      </c>
      <c r="C91" s="194" t="s">
        <v>240</v>
      </c>
      <c r="D91" s="194"/>
      <c r="E91" s="194"/>
      <c r="F91" s="194"/>
      <c r="G91" s="194"/>
      <c r="H91" s="194"/>
      <c r="I91" s="194"/>
      <c r="J91" s="194"/>
      <c r="K91" s="194"/>
      <c r="L91" s="194"/>
      <c r="M91" s="194"/>
      <c r="N91" s="194"/>
      <c r="O91" s="194"/>
      <c r="P91" s="194"/>
      <c r="Q91" s="194"/>
      <c r="R91" s="194"/>
      <c r="S91" s="194"/>
      <c r="T91" s="194"/>
      <c r="U91" s="194"/>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BA91" s="106" t="str">
        <f>C91</f>
        <v>Ecofys (2014). Warmteladder. Available at: https://www.ecofys.com/files/files/ecofys-2014-warmteladder.pdf</v>
      </c>
    </row>
    <row r="92" spans="1:53" ht="15" customHeight="1">
      <c r="A92" s="128"/>
      <c r="B92" s="79">
        <v>2</v>
      </c>
      <c r="C92" s="194" t="s">
        <v>241</v>
      </c>
      <c r="D92" s="194"/>
      <c r="E92" s="194"/>
      <c r="F92" s="194"/>
      <c r="G92" s="194"/>
      <c r="H92" s="194"/>
      <c r="I92" s="194"/>
      <c r="J92" s="194"/>
      <c r="K92" s="194"/>
      <c r="L92" s="194"/>
      <c r="M92" s="194"/>
      <c r="N92" s="194"/>
      <c r="O92" s="194"/>
      <c r="P92" s="194"/>
      <c r="Q92" s="194"/>
      <c r="R92" s="194"/>
      <c r="S92" s="194"/>
      <c r="T92" s="194"/>
      <c r="U92" s="194"/>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BA92" s="106" t="str">
        <f t="shared" ref="BA92:BA101" si="0">C92</f>
        <v>IEA (2015). Projected Costs of Generating Electricity 2015 Edition</v>
      </c>
    </row>
    <row r="93" spans="1:53" ht="15" customHeight="1">
      <c r="A93" s="128"/>
      <c r="B93" s="79">
        <v>3</v>
      </c>
      <c r="C93" s="194" t="s">
        <v>242</v>
      </c>
      <c r="D93" s="194"/>
      <c r="E93" s="194"/>
      <c r="F93" s="194"/>
      <c r="G93" s="194"/>
      <c r="H93" s="194"/>
      <c r="I93" s="194"/>
      <c r="J93" s="194"/>
      <c r="K93" s="194"/>
      <c r="L93" s="194"/>
      <c r="M93" s="194"/>
      <c r="N93" s="194"/>
      <c r="O93" s="194"/>
      <c r="P93" s="194"/>
      <c r="Q93" s="194"/>
      <c r="R93" s="194"/>
      <c r="S93" s="194"/>
      <c r="T93" s="194"/>
      <c r="U93" s="194"/>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BA93" s="106" t="str">
        <f t="shared" si="0"/>
        <v xml:space="preserve">ETRI (2014). Carlsson J, Energy Technology Reference Indicator projections for 2010-2050, 2014 Edition, EUR 26950 EN, Publications Office of the European Union, Luxembourg, 2014, ISBN 978-92-79-44403-6, doi: 10.2790/057687, JRC92496
https://setis.ec.europa.eu/related-jrc-activities/jrc-setis-reports/etri-2014 </v>
      </c>
    </row>
    <row r="94" spans="1:53" ht="15" customHeight="1">
      <c r="A94" s="128"/>
      <c r="B94" s="79">
        <v>4</v>
      </c>
      <c r="C94" s="194" t="s">
        <v>243</v>
      </c>
      <c r="D94" s="194"/>
      <c r="E94" s="194"/>
      <c r="F94" s="194"/>
      <c r="G94" s="194"/>
      <c r="H94" s="194"/>
      <c r="I94" s="194"/>
      <c r="J94" s="194"/>
      <c r="K94" s="194"/>
      <c r="L94" s="194"/>
      <c r="M94" s="194"/>
      <c r="N94" s="194"/>
      <c r="O94" s="194"/>
      <c r="P94" s="194"/>
      <c r="Q94" s="194"/>
      <c r="R94" s="194"/>
      <c r="S94" s="194"/>
      <c r="T94" s="194"/>
      <c r="U94" s="194"/>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BA94" s="106" t="str">
        <f t="shared" si="0"/>
        <v>IEA ETSAP (2010). Combined Heat and Power -  Technology Factsheet</v>
      </c>
    </row>
    <row r="95" spans="1:53" ht="15" customHeight="1">
      <c r="A95" s="128"/>
      <c r="B95" s="79">
        <v>5</v>
      </c>
      <c r="C95" s="194" t="s">
        <v>244</v>
      </c>
      <c r="D95" s="194"/>
      <c r="E95" s="194"/>
      <c r="F95" s="194"/>
      <c r="G95" s="194"/>
      <c r="H95" s="194"/>
      <c r="I95" s="194"/>
      <c r="J95" s="194"/>
      <c r="K95" s="194"/>
      <c r="L95" s="194"/>
      <c r="M95" s="194"/>
      <c r="N95" s="194"/>
      <c r="O95" s="194"/>
      <c r="P95" s="194"/>
      <c r="Q95" s="194"/>
      <c r="R95" s="194"/>
      <c r="S95" s="194"/>
      <c r="T95" s="194"/>
      <c r="U95" s="194"/>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BA95" s="106" t="str">
        <f t="shared" si="0"/>
        <v>Gasterra (2008). Warmte en Kracht: WarmteKrachtKoppeling: een overzicht en leidraad</v>
      </c>
    </row>
    <row r="96" spans="1:53" ht="15" customHeight="1">
      <c r="A96" s="128"/>
      <c r="B96" s="79">
        <v>6</v>
      </c>
      <c r="C96" s="194" t="s">
        <v>245</v>
      </c>
      <c r="D96" s="194"/>
      <c r="E96" s="194"/>
      <c r="F96" s="194"/>
      <c r="G96" s="194"/>
      <c r="H96" s="194"/>
      <c r="I96" s="194"/>
      <c r="J96" s="194"/>
      <c r="K96" s="194"/>
      <c r="L96" s="194"/>
      <c r="M96" s="194"/>
      <c r="N96" s="194"/>
      <c r="O96" s="194"/>
      <c r="P96" s="194"/>
      <c r="Q96" s="194"/>
      <c r="R96" s="194"/>
      <c r="S96" s="194"/>
      <c r="T96" s="194"/>
      <c r="U96" s="194"/>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BA96" s="106" t="str">
        <f t="shared" si="0"/>
        <v>PBL (2017). Functioneel ontwerp VESTA 3.0.</v>
      </c>
    </row>
    <row r="97" spans="1:53">
      <c r="A97" s="128"/>
      <c r="B97" s="79">
        <v>7</v>
      </c>
      <c r="C97" s="194" t="s">
        <v>246</v>
      </c>
      <c r="D97" s="194"/>
      <c r="E97" s="194"/>
      <c r="F97" s="194"/>
      <c r="G97" s="194"/>
      <c r="H97" s="194"/>
      <c r="I97" s="194"/>
      <c r="J97" s="194"/>
      <c r="K97" s="194"/>
      <c r="L97" s="194"/>
      <c r="M97" s="194"/>
      <c r="N97" s="194"/>
      <c r="O97" s="194"/>
      <c r="P97" s="194"/>
      <c r="Q97" s="194"/>
      <c r="R97" s="194"/>
      <c r="S97" s="194"/>
      <c r="T97" s="194"/>
      <c r="U97" s="194"/>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BA97" s="106" t="str">
        <f t="shared" si="0"/>
        <v>ECN (2011) Restwarmtebenutting, potentielen, besparing, alternatieven</v>
      </c>
    </row>
    <row r="98" spans="1:53" ht="19.5" customHeight="1">
      <c r="A98" s="128"/>
      <c r="B98" s="79">
        <v>8</v>
      </c>
      <c r="C98" s="194" t="s">
        <v>247</v>
      </c>
      <c r="D98" s="194"/>
      <c r="E98" s="194"/>
      <c r="F98" s="194"/>
      <c r="G98" s="194"/>
      <c r="H98" s="194"/>
      <c r="I98" s="194"/>
      <c r="J98" s="194"/>
      <c r="K98" s="194"/>
      <c r="L98" s="194"/>
      <c r="M98" s="194"/>
      <c r="N98" s="194"/>
      <c r="O98" s="194"/>
      <c r="P98" s="194"/>
      <c r="Q98" s="194"/>
      <c r="R98" s="194"/>
      <c r="S98" s="194"/>
      <c r="T98" s="194"/>
      <c r="U98" s="194"/>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BA98" s="106" t="str">
        <f t="shared" si="0"/>
        <v xml:space="preserve">ECN (2010). Kolencentrales Eemshaven Dwingende redenen openbaar belang Antwoorden op vragen van het Ministerie van EL&amp;I. 
</v>
      </c>
    </row>
    <row r="99" spans="1:53" ht="15" customHeight="1">
      <c r="A99" s="128"/>
      <c r="B99" s="79">
        <v>9</v>
      </c>
      <c r="C99" s="195" t="s">
        <v>248</v>
      </c>
      <c r="D99" s="196"/>
      <c r="E99" s="196"/>
      <c r="F99" s="196"/>
      <c r="G99" s="196"/>
      <c r="H99" s="196"/>
      <c r="I99" s="196"/>
      <c r="J99" s="196"/>
      <c r="K99" s="196"/>
      <c r="L99" s="196"/>
      <c r="M99" s="196"/>
      <c r="N99" s="196"/>
      <c r="O99" s="196"/>
      <c r="P99" s="196"/>
      <c r="Q99" s="196"/>
      <c r="R99" s="196"/>
      <c r="S99" s="196"/>
      <c r="T99" s="196"/>
      <c r="U99" s="197"/>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BA99" s="106" t="str">
        <f t="shared" si="0"/>
        <v>ECN (2017a). Monitoring Warmte 2015</v>
      </c>
    </row>
    <row r="100" spans="1:53" ht="15" customHeight="1">
      <c r="A100" s="128"/>
      <c r="B100" s="79">
        <v>10</v>
      </c>
      <c r="C100" s="194" t="s">
        <v>249</v>
      </c>
      <c r="D100" s="194"/>
      <c r="E100" s="194"/>
      <c r="F100" s="194"/>
      <c r="G100" s="194"/>
      <c r="H100" s="194"/>
      <c r="I100" s="194"/>
      <c r="J100" s="194"/>
      <c r="K100" s="194"/>
      <c r="L100" s="194"/>
      <c r="M100" s="194"/>
      <c r="N100" s="194"/>
      <c r="O100" s="194"/>
      <c r="P100" s="194"/>
      <c r="Q100" s="194"/>
      <c r="R100" s="194"/>
      <c r="S100" s="194"/>
      <c r="T100" s="194"/>
      <c r="U100" s="194"/>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BA100" s="106" t="str">
        <f t="shared" si="0"/>
        <v xml:space="preserve">ECN (2017b). Nationale Energieverkenning 2017
</v>
      </c>
    </row>
    <row r="101" spans="1:53" ht="30">
      <c r="A101" s="128"/>
      <c r="B101" s="198" t="s">
        <v>250</v>
      </c>
      <c r="C101" s="194" t="s">
        <v>251</v>
      </c>
      <c r="D101" s="194"/>
      <c r="E101" s="194"/>
      <c r="F101" s="194"/>
      <c r="G101" s="194"/>
      <c r="H101" s="194"/>
      <c r="I101" s="194"/>
      <c r="J101" s="194"/>
      <c r="K101" s="194"/>
      <c r="L101" s="194"/>
      <c r="M101" s="194"/>
      <c r="N101" s="194"/>
      <c r="O101" s="194"/>
      <c r="P101" s="194"/>
      <c r="Q101" s="194"/>
      <c r="R101" s="194"/>
      <c r="S101" s="194"/>
      <c r="T101" s="194"/>
      <c r="U101" s="194"/>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BA101" s="106" t="str">
        <f t="shared" si="0"/>
        <v xml:space="preserve">ECN (2019). Monitoring Warmte 2017
</v>
      </c>
    </row>
    <row r="102" spans="1:53">
      <c r="A102" s="128"/>
      <c r="B102" s="198"/>
      <c r="C102" s="194"/>
      <c r="D102" s="194"/>
      <c r="E102" s="194"/>
      <c r="F102" s="194"/>
      <c r="G102" s="194"/>
      <c r="H102" s="194"/>
      <c r="I102" s="194"/>
      <c r="J102" s="194"/>
      <c r="K102" s="194"/>
      <c r="L102" s="194"/>
      <c r="M102" s="194"/>
      <c r="N102" s="194"/>
      <c r="O102" s="194"/>
      <c r="P102" s="194"/>
      <c r="Q102" s="194"/>
      <c r="R102" s="194"/>
      <c r="S102" s="194"/>
      <c r="T102" s="194"/>
      <c r="U102" s="194"/>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row>
    <row r="103" spans="1:53">
      <c r="A103" s="128"/>
      <c r="B103" s="198"/>
      <c r="C103" s="194"/>
      <c r="D103" s="194"/>
      <c r="E103" s="194"/>
      <c r="F103" s="194"/>
      <c r="G103" s="194"/>
      <c r="H103" s="194"/>
      <c r="I103" s="194"/>
      <c r="J103" s="194"/>
      <c r="K103" s="194"/>
      <c r="L103" s="194"/>
      <c r="M103" s="194"/>
      <c r="N103" s="194"/>
      <c r="O103" s="194"/>
      <c r="P103" s="194"/>
      <c r="Q103" s="194"/>
      <c r="R103" s="194"/>
      <c r="S103" s="194"/>
      <c r="T103" s="194"/>
      <c r="U103" s="194"/>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row>
  </sheetData>
  <mergeCells count="147">
    <mergeCell ref="B4:K4"/>
    <mergeCell ref="B5:C5"/>
    <mergeCell ref="D5:K5"/>
    <mergeCell ref="B6:C6"/>
    <mergeCell ref="D6:K6"/>
    <mergeCell ref="B7:C8"/>
    <mergeCell ref="D7:K7"/>
    <mergeCell ref="D8:K8"/>
    <mergeCell ref="B12:C13"/>
    <mergeCell ref="D12:K12"/>
    <mergeCell ref="D13:K13"/>
    <mergeCell ref="B14:K14"/>
    <mergeCell ref="B15:C16"/>
    <mergeCell ref="D15:K16"/>
    <mergeCell ref="B9:C9"/>
    <mergeCell ref="D9:K9"/>
    <mergeCell ref="B10:C10"/>
    <mergeCell ref="D10:K10"/>
    <mergeCell ref="B11:C11"/>
    <mergeCell ref="D11:K11"/>
    <mergeCell ref="Q20:U20"/>
    <mergeCell ref="B21:C23"/>
    <mergeCell ref="D21:E23"/>
    <mergeCell ref="F21:F23"/>
    <mergeCell ref="B17:C17"/>
    <mergeCell ref="D17:F17"/>
    <mergeCell ref="B18:C19"/>
    <mergeCell ref="D18:F19"/>
    <mergeCell ref="B20:C20"/>
    <mergeCell ref="D20:E20"/>
    <mergeCell ref="B24:C25"/>
    <mergeCell ref="D24:E25"/>
    <mergeCell ref="F24:F25"/>
    <mergeCell ref="B26:C26"/>
    <mergeCell ref="D26:K26"/>
    <mergeCell ref="B27:C27"/>
    <mergeCell ref="D27:K27"/>
    <mergeCell ref="G20:K20"/>
    <mergeCell ref="L20:P20"/>
    <mergeCell ref="B31:C31"/>
    <mergeCell ref="D31:K31"/>
    <mergeCell ref="B32:C32"/>
    <mergeCell ref="D32:K32"/>
    <mergeCell ref="B33:C33"/>
    <mergeCell ref="D33:K33"/>
    <mergeCell ref="B28:C28"/>
    <mergeCell ref="D28:K28"/>
    <mergeCell ref="B29:C29"/>
    <mergeCell ref="D29:K29"/>
    <mergeCell ref="B30:C30"/>
    <mergeCell ref="D30:K30"/>
    <mergeCell ref="B39:C40"/>
    <mergeCell ref="D39:D40"/>
    <mergeCell ref="E39:F40"/>
    <mergeCell ref="B41:C42"/>
    <mergeCell ref="D41:D42"/>
    <mergeCell ref="E41:F42"/>
    <mergeCell ref="B34:U34"/>
    <mergeCell ref="B35:F36"/>
    <mergeCell ref="G35:K35"/>
    <mergeCell ref="L35:P35"/>
    <mergeCell ref="Q35:U35"/>
    <mergeCell ref="B37:C38"/>
    <mergeCell ref="D37:D38"/>
    <mergeCell ref="E37:F38"/>
    <mergeCell ref="B47:C48"/>
    <mergeCell ref="D47:E48"/>
    <mergeCell ref="F47:F48"/>
    <mergeCell ref="G47:K47"/>
    <mergeCell ref="L47:P47"/>
    <mergeCell ref="Q47:U47"/>
    <mergeCell ref="B43:C44"/>
    <mergeCell ref="D43:D44"/>
    <mergeCell ref="E43:F44"/>
    <mergeCell ref="B45:C45"/>
    <mergeCell ref="D45:U45"/>
    <mergeCell ref="B46:U46"/>
    <mergeCell ref="B49:C56"/>
    <mergeCell ref="D49:E50"/>
    <mergeCell ref="F49:F50"/>
    <mergeCell ref="D51:E52"/>
    <mergeCell ref="F51:F52"/>
    <mergeCell ref="D53:E54"/>
    <mergeCell ref="F53:F54"/>
    <mergeCell ref="D55:E56"/>
    <mergeCell ref="F55:F56"/>
    <mergeCell ref="F61:F62"/>
    <mergeCell ref="D63:E64"/>
    <mergeCell ref="F63:F64"/>
    <mergeCell ref="B65:C65"/>
    <mergeCell ref="D65:U65"/>
    <mergeCell ref="B66:U66"/>
    <mergeCell ref="B57:C57"/>
    <mergeCell ref="D57:U57"/>
    <mergeCell ref="B58:U58"/>
    <mergeCell ref="B59:C64"/>
    <mergeCell ref="D59:E60"/>
    <mergeCell ref="F59:F60"/>
    <mergeCell ref="G59:K59"/>
    <mergeCell ref="L59:P59"/>
    <mergeCell ref="Q59:U59"/>
    <mergeCell ref="D61:E62"/>
    <mergeCell ref="B78:U78"/>
    <mergeCell ref="B79:C80"/>
    <mergeCell ref="D79:F80"/>
    <mergeCell ref="G79:K79"/>
    <mergeCell ref="L79:P79"/>
    <mergeCell ref="Q79:U79"/>
    <mergeCell ref="D73:E74"/>
    <mergeCell ref="F73:F74"/>
    <mergeCell ref="D75:E76"/>
    <mergeCell ref="F75:F76"/>
    <mergeCell ref="B77:C77"/>
    <mergeCell ref="D77:U77"/>
    <mergeCell ref="B67:C76"/>
    <mergeCell ref="D67:E68"/>
    <mergeCell ref="F67:F68"/>
    <mergeCell ref="G67:K67"/>
    <mergeCell ref="L67:P67"/>
    <mergeCell ref="Q67:U67"/>
    <mergeCell ref="D69:E70"/>
    <mergeCell ref="F69:F70"/>
    <mergeCell ref="D71:E72"/>
    <mergeCell ref="F71:F72"/>
    <mergeCell ref="B87:C88"/>
    <mergeCell ref="D87:F88"/>
    <mergeCell ref="B89:C89"/>
    <mergeCell ref="D89:U89"/>
    <mergeCell ref="B90:U90"/>
    <mergeCell ref="C91:U91"/>
    <mergeCell ref="B81:C82"/>
    <mergeCell ref="D81:F82"/>
    <mergeCell ref="B83:C84"/>
    <mergeCell ref="D83:F84"/>
    <mergeCell ref="B85:C86"/>
    <mergeCell ref="D85:F86"/>
    <mergeCell ref="C98:U98"/>
    <mergeCell ref="C99:U99"/>
    <mergeCell ref="C100:U100"/>
    <mergeCell ref="B101:B103"/>
    <mergeCell ref="C101:U103"/>
    <mergeCell ref="C92:U92"/>
    <mergeCell ref="C93:U93"/>
    <mergeCell ref="C94:U94"/>
    <mergeCell ref="C95:U95"/>
    <mergeCell ref="C96:U96"/>
    <mergeCell ref="C97:U97"/>
  </mergeCells>
  <conditionalFormatting sqref="D7">
    <cfRule type="containsText" dxfId="776" priority="351" operator="containsText" text="Please select">
      <formula>NOT(ISERROR(SEARCH("Please select",D7)))</formula>
    </cfRule>
  </conditionalFormatting>
  <conditionalFormatting sqref="D8 L8:O8">
    <cfRule type="containsText" dxfId="775" priority="350" operator="containsText" text="Other (specify here)">
      <formula>NOT(ISERROR(SEARCH("Other (specify here)",D8)))</formula>
    </cfRule>
  </conditionalFormatting>
  <conditionalFormatting sqref="D9">
    <cfRule type="containsText" dxfId="774" priority="349" operator="containsText" text="Please select">
      <formula>NOT(ISERROR(SEARCH("Please select",D9)))</formula>
    </cfRule>
  </conditionalFormatting>
  <conditionalFormatting sqref="L10:O10">
    <cfRule type="containsText" dxfId="773" priority="348" operator="containsText" text="Specify here">
      <formula>NOT(ISERROR(SEARCH("Specify here",L10)))</formula>
    </cfRule>
  </conditionalFormatting>
  <conditionalFormatting sqref="D11 M11 O11">
    <cfRule type="containsText" dxfId="772" priority="347" operator="containsText" text="Specify here">
      <formula>NOT(ISERROR(SEARCH("Specify here",D11)))</formula>
    </cfRule>
  </conditionalFormatting>
  <conditionalFormatting sqref="L6:O6">
    <cfRule type="containsText" dxfId="771" priority="346" operator="containsText" text="DD-MM-YYYY">
      <formula>NOT(ISERROR(SEARCH("DD-MM-YYYY",L6)))</formula>
    </cfRule>
  </conditionalFormatting>
  <conditionalFormatting sqref="D12 M12:O12">
    <cfRule type="containsText" dxfId="770" priority="343" operator="containsText" text="Select the observed or expected TRL level in 2020">
      <formula>NOT(ISERROR(SEARCH("Select the observed or expected TRL level in 2020",D12)))</formula>
    </cfRule>
    <cfRule type="containsText" dxfId="769" priority="345" operator="containsText" text="Specify here the observed or expected TRL level in 2020">
      <formula>NOT(ISERROR(SEARCH("Specify here the observed or expected TRL level in 2020",D12)))</formula>
    </cfRule>
  </conditionalFormatting>
  <conditionalFormatting sqref="D13 L13:O13">
    <cfRule type="containsText" dxfId="768" priority="344" operator="containsText" text="Explain here">
      <formula>NOT(ISERROR(SEARCH("Explain here",D13)))</formula>
    </cfRule>
  </conditionalFormatting>
  <conditionalFormatting sqref="D32 D30">
    <cfRule type="containsText" dxfId="767" priority="342" operator="containsText" text="Please select">
      <formula>NOT(ISERROR(SEARCH("Please select",D30)))</formula>
    </cfRule>
  </conditionalFormatting>
  <conditionalFormatting sqref="D30 L30:O30">
    <cfRule type="containsText" dxfId="766" priority="341" operator="containsText" text="Specify here">
      <formula>NOT(ISERROR(SEARCH("Specify here",D30)))</formula>
    </cfRule>
  </conditionalFormatting>
  <conditionalFormatting sqref="L27:O28">
    <cfRule type="containsText" dxfId="765" priority="340" operator="containsText" text="Specify here">
      <formula>NOT(ISERROR(SEARCH("Specify here",L27)))</formula>
    </cfRule>
  </conditionalFormatting>
  <conditionalFormatting sqref="L26:O28">
    <cfRule type="containsText" dxfId="764" priority="339" operator="containsText" text="Specify here">
      <formula>NOT(ISERROR(SEARCH("Specify here",L26)))</formula>
    </cfRule>
  </conditionalFormatting>
  <conditionalFormatting sqref="L31:O31">
    <cfRule type="containsText" dxfId="763" priority="338" operator="containsText" text="Specify here">
      <formula>NOT(ISERROR(SEARCH("Specify here",L31)))</formula>
    </cfRule>
  </conditionalFormatting>
  <conditionalFormatting sqref="D33 L33:O33">
    <cfRule type="containsText" dxfId="762" priority="337"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L5:O5">
    <cfRule type="containsText" dxfId="761" priority="336" operator="containsText" text="Specify technology option name here">
      <formula>NOT(ISERROR(SEARCH("Specify technology option name here",L5)))</formula>
    </cfRule>
  </conditionalFormatting>
  <conditionalFormatting sqref="D18">
    <cfRule type="containsText" dxfId="760" priority="335" operator="containsText" text="Select Functional Unit above">
      <formula>NOT(ISERROR(SEARCH("Select Functional Unit above",D18)))</formula>
    </cfRule>
  </conditionalFormatting>
  <conditionalFormatting sqref="D49">
    <cfRule type="containsText" dxfId="759" priority="333" operator="containsText" text="Select">
      <formula>NOT(ISERROR(SEARCH("Select",D49)))</formula>
    </cfRule>
  </conditionalFormatting>
  <conditionalFormatting sqref="D45">
    <cfRule type="containsText" dxfId="758" priority="334" operator="containsText" text="Explain here (e.g. other costs)">
      <formula>NOT(ISERROR(SEARCH("Explain here (e.g. other costs)",D45)))</formula>
    </cfRule>
  </conditionalFormatting>
  <conditionalFormatting sqref="D71">
    <cfRule type="containsText" dxfId="757" priority="324" operator="containsText" text="Select">
      <formula>NOT(ISERROR(SEARCH("Select",D71)))</formula>
    </cfRule>
  </conditionalFormatting>
  <conditionalFormatting sqref="D73">
    <cfRule type="containsText" dxfId="756" priority="323" operator="containsText" text="Select">
      <formula>NOT(ISERROR(SEARCH("Select",D73)))</formula>
    </cfRule>
  </conditionalFormatting>
  <conditionalFormatting sqref="D51">
    <cfRule type="containsText" dxfId="755" priority="332" operator="containsText" text="Select">
      <formula>NOT(ISERROR(SEARCH("Select",D51)))</formula>
    </cfRule>
  </conditionalFormatting>
  <conditionalFormatting sqref="D75">
    <cfRule type="containsText" dxfId="754" priority="322" operator="containsText" text="Select">
      <formula>NOT(ISERROR(SEARCH("Select",D75)))</formula>
    </cfRule>
  </conditionalFormatting>
  <conditionalFormatting sqref="D53">
    <cfRule type="containsText" dxfId="753" priority="331" operator="containsText" text="Select">
      <formula>NOT(ISERROR(SEARCH("Select",D53)))</formula>
    </cfRule>
  </conditionalFormatting>
  <conditionalFormatting sqref="D55">
    <cfRule type="containsText" dxfId="752" priority="330" operator="containsText" text="Select">
      <formula>NOT(ISERROR(SEARCH("Select",D55)))</formula>
    </cfRule>
  </conditionalFormatting>
  <conditionalFormatting sqref="F49:F56">
    <cfRule type="containsText" dxfId="751" priority="329" operator="containsText" text="Please select">
      <formula>NOT(ISERROR(SEARCH("Please select",F49)))</formula>
    </cfRule>
  </conditionalFormatting>
  <conditionalFormatting sqref="D57">
    <cfRule type="containsText" dxfId="750" priority="328" operator="containsText" text="Explain here (e.g. flexible in and out)">
      <formula>NOT(ISERROR(SEARCH("Explain here (e.g. flexible in and out)",D57)))</formula>
    </cfRule>
  </conditionalFormatting>
  <conditionalFormatting sqref="D61">
    <cfRule type="containsText" dxfId="749" priority="327" operator="containsText" text="Select">
      <formula>NOT(ISERROR(SEARCH("Select",D61)))</formula>
    </cfRule>
  </conditionalFormatting>
  <conditionalFormatting sqref="D65">
    <cfRule type="containsText" dxfId="748" priority="326" operator="containsText" text="Explain here">
      <formula>NOT(ISERROR(SEARCH("Explain here",D65)))</formula>
    </cfRule>
  </conditionalFormatting>
  <conditionalFormatting sqref="D69">
    <cfRule type="containsText" dxfId="747" priority="325" operator="containsText" text="Select">
      <formula>NOT(ISERROR(SEARCH("Select",D69)))</formula>
    </cfRule>
  </conditionalFormatting>
  <conditionalFormatting sqref="F69:F76">
    <cfRule type="containsText" dxfId="746" priority="321" operator="containsText" text="Please select">
      <formula>NOT(ISERROR(SEARCH("Please select",F69)))</formula>
    </cfRule>
  </conditionalFormatting>
  <conditionalFormatting sqref="D77">
    <cfRule type="containsText" dxfId="745" priority="320" operator="containsText" text="Explain here">
      <formula>NOT(ISERROR(SEARCH("Explain here",D77)))</formula>
    </cfRule>
  </conditionalFormatting>
  <conditionalFormatting sqref="D81">
    <cfRule type="containsText" dxfId="744" priority="319" operator="containsText" text="Specify here">
      <formula>NOT(ISERROR(SEARCH("Specify here",D81)))</formula>
    </cfRule>
  </conditionalFormatting>
  <conditionalFormatting sqref="B91 B96 B93:B94 B98 B100">
    <cfRule type="containsText" dxfId="743" priority="318" operator="containsText" text="Specify data sources and references here">
      <formula>NOT(ISERROR(SEARCH("Specify data sources and references here",B91)))</formula>
    </cfRule>
  </conditionalFormatting>
  <conditionalFormatting sqref="D27">
    <cfRule type="containsText" dxfId="742" priority="317" operator="containsText" text="Please select">
      <formula>NOT(ISERROR(SEARCH("Please select",D27)))</formula>
    </cfRule>
  </conditionalFormatting>
  <conditionalFormatting sqref="D27">
    <cfRule type="containsText" dxfId="741" priority="316" operator="containsText" text="Specify here">
      <formula>NOT(ISERROR(SEARCH("Specify here",D27)))</formula>
    </cfRule>
  </conditionalFormatting>
  <conditionalFormatting sqref="D26:D27">
    <cfRule type="containsText" dxfId="740" priority="315" operator="containsText" text="Specify here (if not specified, value will be 1)">
      <formula>NOT(ISERROR(SEARCH("Specify here (if not specified, value will be 1)",D26)))</formula>
    </cfRule>
  </conditionalFormatting>
  <conditionalFormatting sqref="D31">
    <cfRule type="containsText" dxfId="739" priority="314" operator="containsText" text="Please select">
      <formula>NOT(ISERROR(SEARCH("Please select",D31)))</formula>
    </cfRule>
  </conditionalFormatting>
  <conditionalFormatting sqref="D31">
    <cfRule type="containsText" dxfId="738" priority="313" operator="containsText" text="Specify here">
      <formula>NOT(ISERROR(SEARCH("Specify here",D31)))</formula>
    </cfRule>
  </conditionalFormatting>
  <conditionalFormatting sqref="T38:U38 T44:U44 T42:U42 T40:U40">
    <cfRule type="containsText" dxfId="737" priority="312" operator="containsText" text="Reference">
      <formula>NOT(ISERROR(SEARCH("Reference",T38)))</formula>
    </cfRule>
  </conditionalFormatting>
  <conditionalFormatting sqref="E37">
    <cfRule type="containsText" dxfId="736" priority="311" operator="containsText" text="Please select 'Functional Unit' above">
      <formula>NOT(ISERROR(SEARCH("Please select 'Functional Unit' above",E37)))</formula>
    </cfRule>
  </conditionalFormatting>
  <conditionalFormatting sqref="O52:P52 O54:P54 O56:P56">
    <cfRule type="containsText" dxfId="735" priority="310" operator="containsText" text="Reference">
      <formula>NOT(ISERROR(SEARCH("Reference",O52)))</formula>
    </cfRule>
  </conditionalFormatting>
  <conditionalFormatting sqref="T52:U52 T54:U54 T56:U56">
    <cfRule type="containsText" dxfId="734" priority="309" operator="containsText" text="Reference">
      <formula>NOT(ISERROR(SEARCH("Reference",T52)))</formula>
    </cfRule>
  </conditionalFormatting>
  <conditionalFormatting sqref="H72:K72 H74:K74 H76:K76 H70:K70">
    <cfRule type="containsText" dxfId="733" priority="308" operator="containsText" text="Reference">
      <formula>NOT(ISERROR(SEARCH("Reference",H70)))</formula>
    </cfRule>
  </conditionalFormatting>
  <conditionalFormatting sqref="M72:P72 M74:P74 M76:P76 M70:P70">
    <cfRule type="containsText" dxfId="732" priority="307" operator="containsText" text="Reference">
      <formula>NOT(ISERROR(SEARCH("Reference",M70)))</formula>
    </cfRule>
  </conditionalFormatting>
  <conditionalFormatting sqref="R72:U72 R74:U74 R76:U76 R70:U70">
    <cfRule type="containsText" dxfId="731" priority="306" operator="containsText" text="Reference">
      <formula>NOT(ISERROR(SEARCH("Reference",R70)))</formula>
    </cfRule>
  </conditionalFormatting>
  <conditionalFormatting sqref="G64:K64 H62:K62">
    <cfRule type="containsText" dxfId="730" priority="305" operator="containsText" text="Reference">
      <formula>NOT(ISERROR(SEARCH("Reference",G62)))</formula>
    </cfRule>
  </conditionalFormatting>
  <conditionalFormatting sqref="L64:P64 M62:P62">
    <cfRule type="containsText" dxfId="729" priority="304" operator="containsText" text="Reference">
      <formula>NOT(ISERROR(SEARCH("Reference",L62)))</formula>
    </cfRule>
  </conditionalFormatting>
  <conditionalFormatting sqref="Q64:U64 R62:U62">
    <cfRule type="containsText" dxfId="728" priority="303" operator="containsText" text="Reference">
      <formula>NOT(ISERROR(SEARCH("Reference",Q62)))</formula>
    </cfRule>
  </conditionalFormatting>
  <conditionalFormatting sqref="J82:K82">
    <cfRule type="containsText" dxfId="727" priority="302" operator="containsText" text="Reference">
      <formula>NOT(ISERROR(SEARCH("Reference",J82)))</formula>
    </cfRule>
  </conditionalFormatting>
  <conditionalFormatting sqref="O82:P82">
    <cfRule type="containsText" dxfId="726" priority="301" operator="containsText" text="Reference">
      <formula>NOT(ISERROR(SEARCH("Reference",O82)))</formula>
    </cfRule>
  </conditionalFormatting>
  <conditionalFormatting sqref="T82:U82">
    <cfRule type="containsText" dxfId="725" priority="300" operator="containsText" text="Reference">
      <formula>NOT(ISERROR(SEARCH("Reference",T82)))</formula>
    </cfRule>
  </conditionalFormatting>
  <conditionalFormatting sqref="D10">
    <cfRule type="containsText" dxfId="724" priority="299" operator="containsText" text="Please select">
      <formula>NOT(ISERROR(SEARCH("Please select",D10)))</formula>
    </cfRule>
  </conditionalFormatting>
  <conditionalFormatting sqref="D15">
    <cfRule type="containsText" dxfId="723" priority="297" operator="containsText" text="Please select">
      <formula>NOT(ISERROR(SEARCH("Please select",D15)))</formula>
    </cfRule>
    <cfRule type="containsText" dxfId="722" priority="298" operator="containsText" text="Please select 'Functional Unit' above">
      <formula>NOT(ISERROR(SEARCH("Please select 'Functional Unit' above",D15)))</formula>
    </cfRule>
  </conditionalFormatting>
  <conditionalFormatting sqref="D21">
    <cfRule type="containsText" dxfId="721" priority="296" operator="containsText" text="Select Functional Unit above">
      <formula>NOT(ISERROR(SEARCH("Select Functional Unit above",D21)))</formula>
    </cfRule>
  </conditionalFormatting>
  <conditionalFormatting sqref="D28">
    <cfRule type="containsText" dxfId="720" priority="295" operator="containsText" text="Please select">
      <formula>NOT(ISERROR(SEARCH("Please select",D28)))</formula>
    </cfRule>
  </conditionalFormatting>
  <conditionalFormatting sqref="E39 E41 E43">
    <cfRule type="containsText" dxfId="719" priority="294" operator="containsText" text="Please select 'Functional Unit' above">
      <formula>NOT(ISERROR(SEARCH("Please select 'Functional Unit' above",E39)))</formula>
    </cfRule>
  </conditionalFormatting>
  <conditionalFormatting sqref="D63">
    <cfRule type="containsText" dxfId="718" priority="293" operator="containsText" text="Select">
      <formula>NOT(ISERROR(SEARCH("Select",D63)))</formula>
    </cfRule>
  </conditionalFormatting>
  <conditionalFormatting sqref="D61:F64">
    <cfRule type="containsText" dxfId="717" priority="292" operator="containsText" text="Specify here">
      <formula>NOT(ISERROR(SEARCH("Specify here",D61)))</formula>
    </cfRule>
  </conditionalFormatting>
  <conditionalFormatting sqref="G62">
    <cfRule type="containsText" dxfId="716" priority="291" operator="containsText" text="Reference">
      <formula>NOT(ISERROR(SEARCH("Reference",G62)))</formula>
    </cfRule>
  </conditionalFormatting>
  <conditionalFormatting sqref="L62">
    <cfRule type="containsText" dxfId="715" priority="290" operator="containsText" text="Reference">
      <formula>NOT(ISERROR(SEARCH("Reference",L62)))</formula>
    </cfRule>
  </conditionalFormatting>
  <conditionalFormatting sqref="Q62">
    <cfRule type="containsText" dxfId="714" priority="289" operator="containsText" text="Reference">
      <formula>NOT(ISERROR(SEARCH("Reference",Q62)))</formula>
    </cfRule>
  </conditionalFormatting>
  <conditionalFormatting sqref="G72 G74 G76 G70">
    <cfRule type="containsText" dxfId="713" priority="288" operator="containsText" text="Reference">
      <formula>NOT(ISERROR(SEARCH("Reference",G70)))</formula>
    </cfRule>
  </conditionalFormatting>
  <conditionalFormatting sqref="L72 L74 L76 L70">
    <cfRule type="containsText" dxfId="712" priority="287" operator="containsText" text="Reference">
      <formula>NOT(ISERROR(SEARCH("Reference",L70)))</formula>
    </cfRule>
  </conditionalFormatting>
  <conditionalFormatting sqref="Q72 Q74 Q76 Q70">
    <cfRule type="containsText" dxfId="711" priority="286" operator="containsText" text="Reference">
      <formula>NOT(ISERROR(SEARCH("Reference",Q70)))</formula>
    </cfRule>
  </conditionalFormatting>
  <conditionalFormatting sqref="B92 B95 B97 B99">
    <cfRule type="containsText" dxfId="710" priority="285" operator="containsText" text="Specify data sources and references here">
      <formula>NOT(ISERROR(SEARCH("Specify data sources and references here",B92)))</formula>
    </cfRule>
  </conditionalFormatting>
  <conditionalFormatting sqref="C101:U103">
    <cfRule type="containsText" dxfId="709" priority="284" operator="containsText" text="Add other sources here">
      <formula>NOT(ISERROR(SEARCH("Add other sources here",C101)))</formula>
    </cfRule>
  </conditionalFormatting>
  <conditionalFormatting sqref="D24">
    <cfRule type="containsText" dxfId="708" priority="283" operator="containsText" text="Select Functional Unit above">
      <formula>NOT(ISERROR(SEARCH("Select Functional Unit above",D24)))</formula>
    </cfRule>
  </conditionalFormatting>
  <conditionalFormatting sqref="F21">
    <cfRule type="containsText" dxfId="707" priority="282" operator="containsText" text="Please select the region">
      <formula>NOT(ISERROR(SEARCH("Please select the region",F21)))</formula>
    </cfRule>
  </conditionalFormatting>
  <conditionalFormatting sqref="F24:F25">
    <cfRule type="containsText" dxfId="706" priority="281" operator="containsText" text="Specify here the market">
      <formula>NOT(ISERROR(SEARCH("Specify here the market",F24)))</formula>
    </cfRule>
  </conditionalFormatting>
  <conditionalFormatting sqref="G23:K23">
    <cfRule type="containsText" dxfId="705" priority="280" operator="containsText" text="Reference">
      <formula>NOT(ISERROR(SEARCH("Reference",G23)))</formula>
    </cfRule>
  </conditionalFormatting>
  <conditionalFormatting sqref="G25:K25">
    <cfRule type="containsText" dxfId="704" priority="279" operator="containsText" text="Reference">
      <formula>NOT(ISERROR(SEARCH("Reference",G25)))</formula>
    </cfRule>
  </conditionalFormatting>
  <conditionalFormatting sqref="G62:U62 G64:U64 G70:U70 G72:U72 G74:U74 G76:U76 J82:K82 O82:P82 T82:U82 O52:P52 T52:U52 O56:P56 O54:P54 T54:U54 T56:U56 T38:U38 T40:U40 T42:U42 T44:U44">
    <cfRule type="containsText" dxfId="703" priority="278" operator="containsText" text="Reference">
      <formula>NOT(ISERROR(SEARCH("Reference",G38)))</formula>
    </cfRule>
  </conditionalFormatting>
  <conditionalFormatting sqref="M25:P25 L23:P23">
    <cfRule type="containsText" dxfId="702" priority="277" operator="containsText" text="Reference">
      <formula>NOT(ISERROR(SEARCH("Reference",L23)))</formula>
    </cfRule>
  </conditionalFormatting>
  <conditionalFormatting sqref="R25:U25 Q23:U23">
    <cfRule type="containsText" dxfId="701" priority="276" operator="containsText" text="Reference">
      <formula>NOT(ISERROR(SEARCH("Reference",Q23)))</formula>
    </cfRule>
  </conditionalFormatting>
  <conditionalFormatting sqref="L23:U23 M25:P25 R25:U25">
    <cfRule type="containsText" dxfId="700" priority="275" operator="containsText" text="Reference">
      <formula>NOT(ISERROR(SEARCH("Reference",L23)))</formula>
    </cfRule>
  </conditionalFormatting>
  <conditionalFormatting sqref="D29">
    <cfRule type="containsText" dxfId="699" priority="274" operator="containsText" text="Please select">
      <formula>NOT(ISERROR(SEARCH("Please select",D29)))</formula>
    </cfRule>
  </conditionalFormatting>
  <conditionalFormatting sqref="D29">
    <cfRule type="containsText" dxfId="698" priority="273" operator="containsText" text="Specify here">
      <formula>NOT(ISERROR(SEARCH("Specify here",D29)))</formula>
    </cfRule>
  </conditionalFormatting>
  <conditionalFormatting sqref="D89">
    <cfRule type="containsText" dxfId="697" priority="272" operator="containsText" text="Explain here">
      <formula>NOT(ISERROR(SEARCH("Explain here",D89)))</formula>
    </cfRule>
  </conditionalFormatting>
  <conditionalFormatting sqref="E41:F42">
    <cfRule type="containsText" dxfId="696" priority="271" operator="containsText" text="Please select">
      <formula>NOT(ISERROR(SEARCH("Please select",E41)))</formula>
    </cfRule>
  </conditionalFormatting>
  <conditionalFormatting sqref="D6">
    <cfRule type="containsText" dxfId="695" priority="270" operator="containsText" text="DD-MM-YYYY">
      <formula>NOT(ISERROR(SEARCH("DD-MM-YYYY",D6)))</formula>
    </cfRule>
  </conditionalFormatting>
  <conditionalFormatting sqref="D5">
    <cfRule type="containsText" dxfId="694" priority="269" operator="containsText" text="Please select">
      <formula>NOT(ISERROR(SEARCH("Please select",D5)))</formula>
    </cfRule>
  </conditionalFormatting>
  <conditionalFormatting sqref="D5">
    <cfRule type="containsText" dxfId="693" priority="268" operator="containsText" text="Specify here">
      <formula>NOT(ISERROR(SEARCH("Specify here",D5)))</formula>
    </cfRule>
  </conditionalFormatting>
  <conditionalFormatting sqref="Q25">
    <cfRule type="containsText" dxfId="692" priority="267" operator="containsText" text="Reference">
      <formula>NOT(ISERROR(SEARCH("Reference",Q25)))</formula>
    </cfRule>
  </conditionalFormatting>
  <conditionalFormatting sqref="Q25">
    <cfRule type="containsText" dxfId="691" priority="266" operator="containsText" text="Reference">
      <formula>NOT(ISERROR(SEARCH("Reference",Q25)))</formula>
    </cfRule>
  </conditionalFormatting>
  <conditionalFormatting sqref="L25">
    <cfRule type="containsText" dxfId="690" priority="265" operator="containsText" text="Reference">
      <formula>NOT(ISERROR(SEARCH("Reference",L25)))</formula>
    </cfRule>
  </conditionalFormatting>
  <conditionalFormatting sqref="L25">
    <cfRule type="containsText" dxfId="689" priority="264" operator="containsText" text="Reference">
      <formula>NOT(ISERROR(SEARCH("Reference",L25)))</formula>
    </cfRule>
  </conditionalFormatting>
  <conditionalFormatting sqref="G82">
    <cfRule type="containsText" dxfId="688" priority="263" operator="containsText" text="Reference">
      <formula>NOT(ISERROR(SEARCH("Reference",G82)))</formula>
    </cfRule>
  </conditionalFormatting>
  <conditionalFormatting sqref="G82">
    <cfRule type="containsText" dxfId="687" priority="262" operator="containsText" text="Reference">
      <formula>NOT(ISERROR(SEARCH("Reference",G82)))</formula>
    </cfRule>
  </conditionalFormatting>
  <conditionalFormatting sqref="B81">
    <cfRule type="containsText" dxfId="686" priority="261" operator="containsText" text="Add here">
      <formula>NOT(ISERROR(SEARCH("Add here",B81)))</formula>
    </cfRule>
  </conditionalFormatting>
  <conditionalFormatting sqref="C100:U100">
    <cfRule type="containsText" dxfId="685" priority="260" operator="containsText" text="Add other sources here">
      <formula>NOT(ISERROR(SEARCH("Add other sources here",C100)))</formula>
    </cfRule>
  </conditionalFormatting>
  <conditionalFormatting sqref="H82">
    <cfRule type="containsText" dxfId="684" priority="259" operator="containsText" text="Reference">
      <formula>NOT(ISERROR(SEARCH("Reference",H82)))</formula>
    </cfRule>
  </conditionalFormatting>
  <conditionalFormatting sqref="H82">
    <cfRule type="containsText" dxfId="683" priority="258" operator="containsText" text="Reference">
      <formula>NOT(ISERROR(SEARCH("Reference",H82)))</formula>
    </cfRule>
  </conditionalFormatting>
  <conditionalFormatting sqref="H82">
    <cfRule type="containsText" dxfId="682" priority="257" operator="containsText" text="Reference">
      <formula>NOT(ISERROR(SEARCH("Reference",H82)))</formula>
    </cfRule>
  </conditionalFormatting>
  <conditionalFormatting sqref="H82">
    <cfRule type="containsText" dxfId="681" priority="256" operator="containsText" text="Reference">
      <formula>NOT(ISERROR(SEARCH("Reference",H82)))</formula>
    </cfRule>
  </conditionalFormatting>
  <conditionalFormatting sqref="G82">
    <cfRule type="containsText" dxfId="680" priority="255" operator="containsText" text="Reference">
      <formula>NOT(ISERROR(SEARCH("Reference",G82)))</formula>
    </cfRule>
  </conditionalFormatting>
  <conditionalFormatting sqref="G82">
    <cfRule type="containsText" dxfId="679" priority="254" operator="containsText" text="Reference">
      <formula>NOT(ISERROR(SEARCH("Reference",G82)))</formula>
    </cfRule>
  </conditionalFormatting>
  <conditionalFormatting sqref="I82">
    <cfRule type="containsText" dxfId="678" priority="253" operator="containsText" text="Reference">
      <formula>NOT(ISERROR(SEARCH("Reference",I82)))</formula>
    </cfRule>
  </conditionalFormatting>
  <conditionalFormatting sqref="I82">
    <cfRule type="containsText" dxfId="677" priority="252" operator="containsText" text="Reference">
      <formula>NOT(ISERROR(SEARCH("Reference",I82)))</formula>
    </cfRule>
  </conditionalFormatting>
  <conditionalFormatting sqref="L82">
    <cfRule type="containsText" dxfId="676" priority="251" operator="containsText" text="Reference">
      <formula>NOT(ISERROR(SEARCH("Reference",L82)))</formula>
    </cfRule>
  </conditionalFormatting>
  <conditionalFormatting sqref="L82">
    <cfRule type="containsText" dxfId="675" priority="250" operator="containsText" text="Reference">
      <formula>NOT(ISERROR(SEARCH("Reference",L82)))</formula>
    </cfRule>
  </conditionalFormatting>
  <conditionalFormatting sqref="M82">
    <cfRule type="containsText" dxfId="674" priority="249" operator="containsText" text="Reference">
      <formula>NOT(ISERROR(SEARCH("Reference",M82)))</formula>
    </cfRule>
  </conditionalFormatting>
  <conditionalFormatting sqref="M82">
    <cfRule type="containsText" dxfId="673" priority="248" operator="containsText" text="Reference">
      <formula>NOT(ISERROR(SEARCH("Reference",M82)))</formula>
    </cfRule>
  </conditionalFormatting>
  <conditionalFormatting sqref="M82">
    <cfRule type="containsText" dxfId="672" priority="247" operator="containsText" text="Reference">
      <formula>NOT(ISERROR(SEARCH("Reference",M82)))</formula>
    </cfRule>
  </conditionalFormatting>
  <conditionalFormatting sqref="M82">
    <cfRule type="containsText" dxfId="671" priority="246" operator="containsText" text="Reference">
      <formula>NOT(ISERROR(SEARCH("Reference",M82)))</formula>
    </cfRule>
  </conditionalFormatting>
  <conditionalFormatting sqref="L82">
    <cfRule type="containsText" dxfId="670" priority="245" operator="containsText" text="Reference">
      <formula>NOT(ISERROR(SEARCH("Reference",L82)))</formula>
    </cfRule>
  </conditionalFormatting>
  <conditionalFormatting sqref="L82">
    <cfRule type="containsText" dxfId="669" priority="244" operator="containsText" text="Reference">
      <formula>NOT(ISERROR(SEARCH("Reference",L82)))</formula>
    </cfRule>
  </conditionalFormatting>
  <conditionalFormatting sqref="Q82">
    <cfRule type="containsText" dxfId="668" priority="243" operator="containsText" text="Reference">
      <formula>NOT(ISERROR(SEARCH("Reference",Q82)))</formula>
    </cfRule>
  </conditionalFormatting>
  <conditionalFormatting sqref="Q82">
    <cfRule type="containsText" dxfId="667" priority="242" operator="containsText" text="Reference">
      <formula>NOT(ISERROR(SEARCH("Reference",Q82)))</formula>
    </cfRule>
  </conditionalFormatting>
  <conditionalFormatting sqref="R82">
    <cfRule type="containsText" dxfId="666" priority="241" operator="containsText" text="Reference">
      <formula>NOT(ISERROR(SEARCH("Reference",R82)))</formula>
    </cfRule>
  </conditionalFormatting>
  <conditionalFormatting sqref="R82">
    <cfRule type="containsText" dxfId="665" priority="240" operator="containsText" text="Reference">
      <formula>NOT(ISERROR(SEARCH("Reference",R82)))</formula>
    </cfRule>
  </conditionalFormatting>
  <conditionalFormatting sqref="R82">
    <cfRule type="containsText" dxfId="664" priority="239" operator="containsText" text="Reference">
      <formula>NOT(ISERROR(SEARCH("Reference",R82)))</formula>
    </cfRule>
  </conditionalFormatting>
  <conditionalFormatting sqref="R82">
    <cfRule type="containsText" dxfId="663" priority="238" operator="containsText" text="Reference">
      <formula>NOT(ISERROR(SEARCH("Reference",R82)))</formula>
    </cfRule>
  </conditionalFormatting>
  <conditionalFormatting sqref="Q82">
    <cfRule type="containsText" dxfId="662" priority="237" operator="containsText" text="Reference">
      <formula>NOT(ISERROR(SEARCH("Reference",Q82)))</formula>
    </cfRule>
  </conditionalFormatting>
  <conditionalFormatting sqref="Q82">
    <cfRule type="containsText" dxfId="661" priority="236" operator="containsText" text="Reference">
      <formula>NOT(ISERROR(SEARCH("Reference",Q82)))</formula>
    </cfRule>
  </conditionalFormatting>
  <conditionalFormatting sqref="N82">
    <cfRule type="containsText" dxfId="660" priority="235" operator="containsText" text="Reference">
      <formula>NOT(ISERROR(SEARCH("Reference",N82)))</formula>
    </cfRule>
  </conditionalFormatting>
  <conditionalFormatting sqref="N82">
    <cfRule type="containsText" dxfId="659" priority="234" operator="containsText" text="Reference">
      <formula>NOT(ISERROR(SEARCH("Reference",N82)))</formula>
    </cfRule>
  </conditionalFormatting>
  <conditionalFormatting sqref="S82">
    <cfRule type="containsText" dxfId="658" priority="233" operator="containsText" text="Reference">
      <formula>NOT(ISERROR(SEARCH("Reference",S82)))</formula>
    </cfRule>
  </conditionalFormatting>
  <conditionalFormatting sqref="S82">
    <cfRule type="containsText" dxfId="657" priority="232" operator="containsText" text="Reference">
      <formula>NOT(ISERROR(SEARCH("Reference",S82)))</formula>
    </cfRule>
  </conditionalFormatting>
  <conditionalFormatting sqref="G38">
    <cfRule type="containsText" dxfId="656" priority="231" operator="containsText" text="Reference">
      <formula>NOT(ISERROR(SEARCH("Reference",G38)))</formula>
    </cfRule>
  </conditionalFormatting>
  <conditionalFormatting sqref="G38">
    <cfRule type="containsText" dxfId="655" priority="230" operator="containsText" text="Reference">
      <formula>NOT(ISERROR(SEARCH("Reference",G38)))</formula>
    </cfRule>
  </conditionalFormatting>
  <conditionalFormatting sqref="G42">
    <cfRule type="containsText" dxfId="654" priority="229" operator="containsText" text="Reference">
      <formula>NOT(ISERROR(SEARCH("Reference",G42)))</formula>
    </cfRule>
  </conditionalFormatting>
  <conditionalFormatting sqref="G42">
    <cfRule type="containsText" dxfId="653" priority="228" operator="containsText" text="Reference">
      <formula>NOT(ISERROR(SEARCH("Reference",G42)))</formula>
    </cfRule>
  </conditionalFormatting>
  <conditionalFormatting sqref="H40">
    <cfRule type="containsText" dxfId="652" priority="215" operator="containsText" text="Reference">
      <formula>NOT(ISERROR(SEARCH("Reference",H40)))</formula>
    </cfRule>
  </conditionalFormatting>
  <conditionalFormatting sqref="H40">
    <cfRule type="containsText" dxfId="651" priority="214" operator="containsText" text="Reference">
      <formula>NOT(ISERROR(SEARCH("Reference",H40)))</formula>
    </cfRule>
  </conditionalFormatting>
  <conditionalFormatting sqref="J40">
    <cfRule type="containsText" dxfId="650" priority="223" operator="containsText" text="Reference">
      <formula>NOT(ISERROR(SEARCH("Reference",J40)))</formula>
    </cfRule>
  </conditionalFormatting>
  <conditionalFormatting sqref="J40">
    <cfRule type="containsText" dxfId="649" priority="222" operator="containsText" text="Reference">
      <formula>NOT(ISERROR(SEARCH("Reference",J40)))</formula>
    </cfRule>
  </conditionalFormatting>
  <conditionalFormatting sqref="O42 O40 O44">
    <cfRule type="containsText" dxfId="648" priority="227" operator="containsText" text="Reference">
      <formula>NOT(ISERROR(SEARCH("Reference",O40)))</formula>
    </cfRule>
  </conditionalFormatting>
  <conditionalFormatting sqref="O42 O40 O44">
    <cfRule type="containsText" dxfId="647" priority="226" operator="containsText" text="Reference">
      <formula>NOT(ISERROR(SEARCH("Reference",O40)))</formula>
    </cfRule>
  </conditionalFormatting>
  <conditionalFormatting sqref="O39">
    <cfRule type="containsText" dxfId="646" priority="225" operator="containsText" text="Reference">
      <formula>NOT(ISERROR(SEARCH("Reference",O39)))</formula>
    </cfRule>
  </conditionalFormatting>
  <conditionalFormatting sqref="O39">
    <cfRule type="containsText" dxfId="645" priority="224" operator="containsText" text="Reference">
      <formula>NOT(ISERROR(SEARCH("Reference",O39)))</formula>
    </cfRule>
  </conditionalFormatting>
  <conditionalFormatting sqref="J38">
    <cfRule type="containsText" dxfId="644" priority="221" operator="containsText" text="Reference">
      <formula>NOT(ISERROR(SEARCH("Reference",J38)))</formula>
    </cfRule>
  </conditionalFormatting>
  <conditionalFormatting sqref="J38">
    <cfRule type="containsText" dxfId="643" priority="220" operator="containsText" text="Reference">
      <formula>NOT(ISERROR(SEARCH("Reference",J38)))</formula>
    </cfRule>
  </conditionalFormatting>
  <conditionalFormatting sqref="J42">
    <cfRule type="containsText" dxfId="642" priority="219" operator="containsText" text="Reference">
      <formula>NOT(ISERROR(SEARCH("Reference",J42)))</formula>
    </cfRule>
  </conditionalFormatting>
  <conditionalFormatting sqref="J42">
    <cfRule type="containsText" dxfId="641" priority="218" operator="containsText" text="Reference">
      <formula>NOT(ISERROR(SEARCH("Reference",J42)))</formula>
    </cfRule>
  </conditionalFormatting>
  <conditionalFormatting sqref="J44">
    <cfRule type="containsText" dxfId="640" priority="217" operator="containsText" text="Reference">
      <formula>NOT(ISERROR(SEARCH("Reference",J44)))</formula>
    </cfRule>
  </conditionalFormatting>
  <conditionalFormatting sqref="J44">
    <cfRule type="containsText" dxfId="639" priority="216" operator="containsText" text="Reference">
      <formula>NOT(ISERROR(SEARCH("Reference",J44)))</formula>
    </cfRule>
  </conditionalFormatting>
  <conditionalFormatting sqref="I40">
    <cfRule type="containsText" dxfId="638" priority="213" operator="containsText" text="Reference">
      <formula>NOT(ISERROR(SEARCH("Reference",I40)))</formula>
    </cfRule>
  </conditionalFormatting>
  <conditionalFormatting sqref="I40">
    <cfRule type="containsText" dxfId="637" priority="212" operator="containsText" text="Reference">
      <formula>NOT(ISERROR(SEARCH("Reference",I40)))</formula>
    </cfRule>
  </conditionalFormatting>
  <conditionalFormatting sqref="I39">
    <cfRule type="containsText" dxfId="636" priority="211" operator="containsText" text="Reference">
      <formula>NOT(ISERROR(SEARCH("Reference",I39)))</formula>
    </cfRule>
  </conditionalFormatting>
  <conditionalFormatting sqref="I39">
    <cfRule type="containsText" dxfId="635" priority="210" operator="containsText" text="Reference">
      <formula>NOT(ISERROR(SEARCH("Reference",I39)))</formula>
    </cfRule>
  </conditionalFormatting>
  <conditionalFormatting sqref="U50">
    <cfRule type="containsText" dxfId="634" priority="204" operator="containsText" text="Reference">
      <formula>NOT(ISERROR(SEARCH("Reference",U50)))</formula>
    </cfRule>
  </conditionalFormatting>
  <conditionalFormatting sqref="O50">
    <cfRule type="containsText" dxfId="633" priority="203" operator="containsText" text="Reference">
      <formula>NOT(ISERROR(SEARCH("Reference",O50)))</formula>
    </cfRule>
  </conditionalFormatting>
  <conditionalFormatting sqref="O38">
    <cfRule type="containsText" dxfId="632" priority="209" operator="containsText" text="Reference">
      <formula>NOT(ISERROR(SEARCH("Reference",O38)))</formula>
    </cfRule>
  </conditionalFormatting>
  <conditionalFormatting sqref="O38">
    <cfRule type="containsText" dxfId="631" priority="208" operator="containsText" text="Reference">
      <formula>NOT(ISERROR(SEARCH("Reference",O38)))</formula>
    </cfRule>
  </conditionalFormatting>
  <conditionalFormatting sqref="T50">
    <cfRule type="containsText" dxfId="630" priority="207" operator="containsText" text="Reference">
      <formula>NOT(ISERROR(SEARCH("Reference",T50)))</formula>
    </cfRule>
  </conditionalFormatting>
  <conditionalFormatting sqref="T50">
    <cfRule type="containsText" dxfId="629" priority="206" operator="containsText" text="Reference">
      <formula>NOT(ISERROR(SEARCH("Reference",T50)))</formula>
    </cfRule>
  </conditionalFormatting>
  <conditionalFormatting sqref="U50">
    <cfRule type="containsText" dxfId="628" priority="205" operator="containsText" text="Reference">
      <formula>NOT(ISERROR(SEARCH("Reference",U50)))</formula>
    </cfRule>
  </conditionalFormatting>
  <conditionalFormatting sqref="O50">
    <cfRule type="containsText" dxfId="627" priority="202" operator="containsText" text="Reference">
      <formula>NOT(ISERROR(SEARCH("Reference",O50)))</formula>
    </cfRule>
  </conditionalFormatting>
  <conditionalFormatting sqref="P50">
    <cfRule type="containsText" dxfId="626" priority="201" operator="containsText" text="Reference">
      <formula>NOT(ISERROR(SEARCH("Reference",P50)))</formula>
    </cfRule>
  </conditionalFormatting>
  <conditionalFormatting sqref="P50">
    <cfRule type="containsText" dxfId="625" priority="200" operator="containsText" text="Reference">
      <formula>NOT(ISERROR(SEARCH("Reference",P50)))</formula>
    </cfRule>
  </conditionalFormatting>
  <conditionalFormatting sqref="L38">
    <cfRule type="containsText" dxfId="624" priority="199" operator="containsText" text="Reference">
      <formula>NOT(ISERROR(SEARCH("Reference",L38)))</formula>
    </cfRule>
  </conditionalFormatting>
  <conditionalFormatting sqref="L38">
    <cfRule type="containsText" dxfId="623" priority="198" operator="containsText" text="Reference">
      <formula>NOT(ISERROR(SEARCH("Reference",L38)))</formula>
    </cfRule>
  </conditionalFormatting>
  <conditionalFormatting sqref="L42">
    <cfRule type="containsText" dxfId="622" priority="197" operator="containsText" text="Reference">
      <formula>NOT(ISERROR(SEARCH("Reference",L42)))</formula>
    </cfRule>
  </conditionalFormatting>
  <conditionalFormatting sqref="L42">
    <cfRule type="containsText" dxfId="621" priority="196" operator="containsText" text="Reference">
      <formula>NOT(ISERROR(SEARCH("Reference",L42)))</formula>
    </cfRule>
  </conditionalFormatting>
  <conditionalFormatting sqref="Q38">
    <cfRule type="containsText" dxfId="620" priority="195" operator="containsText" text="Reference">
      <formula>NOT(ISERROR(SEARCH("Reference",Q38)))</formula>
    </cfRule>
  </conditionalFormatting>
  <conditionalFormatting sqref="Q38">
    <cfRule type="containsText" dxfId="619" priority="194" operator="containsText" text="Reference">
      <formula>NOT(ISERROR(SEARCH("Reference",Q38)))</formula>
    </cfRule>
  </conditionalFormatting>
  <conditionalFormatting sqref="Q42">
    <cfRule type="containsText" dxfId="618" priority="193" operator="containsText" text="Reference">
      <formula>NOT(ISERROR(SEARCH("Reference",Q42)))</formula>
    </cfRule>
  </conditionalFormatting>
  <conditionalFormatting sqref="Q42">
    <cfRule type="containsText" dxfId="617" priority="192" operator="containsText" text="Reference">
      <formula>NOT(ISERROR(SEARCH("Reference",Q42)))</formula>
    </cfRule>
  </conditionalFormatting>
  <conditionalFormatting sqref="H88:K88 M88:P88 R88:U88">
    <cfRule type="containsText" dxfId="616" priority="188" operator="containsText" text="Reference">
      <formula>NOT(ISERROR(SEARCH("Reference",H88)))</formula>
    </cfRule>
  </conditionalFormatting>
  <conditionalFormatting sqref="H88:K88">
    <cfRule type="containsText" dxfId="615" priority="191" operator="containsText" text="Reference">
      <formula>NOT(ISERROR(SEARCH("Reference",H88)))</formula>
    </cfRule>
  </conditionalFormatting>
  <conditionalFormatting sqref="M88:P88">
    <cfRule type="containsText" dxfId="614" priority="190" operator="containsText" text="Reference">
      <formula>NOT(ISERROR(SEARCH("Reference",M88)))</formula>
    </cfRule>
  </conditionalFormatting>
  <conditionalFormatting sqref="R88:U88">
    <cfRule type="containsText" dxfId="613" priority="189" operator="containsText" text="Reference">
      <formula>NOT(ISERROR(SEARCH("Reference",R88)))</formula>
    </cfRule>
  </conditionalFormatting>
  <conditionalFormatting sqref="G88">
    <cfRule type="containsText" dxfId="612" priority="187" operator="containsText" text="Reference">
      <formula>NOT(ISERROR(SEARCH("Reference",G88)))</formula>
    </cfRule>
  </conditionalFormatting>
  <conditionalFormatting sqref="G88">
    <cfRule type="containsText" dxfId="611" priority="186" operator="containsText" text="Reference">
      <formula>NOT(ISERROR(SEARCH("Reference",G88)))</formula>
    </cfRule>
  </conditionalFormatting>
  <conditionalFormatting sqref="L88">
    <cfRule type="containsText" dxfId="610" priority="185" operator="containsText" text="Reference">
      <formula>NOT(ISERROR(SEARCH("Reference",L88)))</formula>
    </cfRule>
  </conditionalFormatting>
  <conditionalFormatting sqref="L88">
    <cfRule type="containsText" dxfId="609" priority="184" operator="containsText" text="Reference">
      <formula>NOT(ISERROR(SEARCH("Reference",L88)))</formula>
    </cfRule>
  </conditionalFormatting>
  <conditionalFormatting sqref="Q88">
    <cfRule type="containsText" dxfId="608" priority="183" operator="containsText" text="Reference">
      <formula>NOT(ISERROR(SEARCH("Reference",Q88)))</formula>
    </cfRule>
  </conditionalFormatting>
  <conditionalFormatting sqref="Q88">
    <cfRule type="containsText" dxfId="607" priority="182" operator="containsText" text="Reference">
      <formula>NOT(ISERROR(SEARCH("Reference",Q88)))</formula>
    </cfRule>
  </conditionalFormatting>
  <conditionalFormatting sqref="H19">
    <cfRule type="containsText" dxfId="606" priority="181" operator="containsText" text="Reference">
      <formula>NOT(ISERROR(SEARCH("Reference",H19)))</formula>
    </cfRule>
  </conditionalFormatting>
  <conditionalFormatting sqref="I19">
    <cfRule type="containsText" dxfId="605" priority="180" operator="containsText" text="Reference">
      <formula>NOT(ISERROR(SEARCH("Reference",I19)))</formula>
    </cfRule>
  </conditionalFormatting>
  <conditionalFormatting sqref="G19">
    <cfRule type="containsText" dxfId="604" priority="179" operator="containsText" text="Reference">
      <formula>NOT(ISERROR(SEARCH("Reference",G19)))</formula>
    </cfRule>
  </conditionalFormatting>
  <conditionalFormatting sqref="M42:N42">
    <cfRule type="containsText" dxfId="603" priority="168" operator="containsText" text="Reference">
      <formula>NOT(ISERROR(SEARCH("Reference",M42)))</formula>
    </cfRule>
  </conditionalFormatting>
  <conditionalFormatting sqref="M42:N42">
    <cfRule type="containsText" dxfId="602" priority="167" operator="containsText" text="Reference">
      <formula>NOT(ISERROR(SEARCH("Reference",M42)))</formula>
    </cfRule>
  </conditionalFormatting>
  <conditionalFormatting sqref="M38:N38">
    <cfRule type="containsText" dxfId="601" priority="170" operator="containsText" text="Reference">
      <formula>NOT(ISERROR(SEARCH("Reference",M38)))</formula>
    </cfRule>
  </conditionalFormatting>
  <conditionalFormatting sqref="M38:N38">
    <cfRule type="containsText" dxfId="600" priority="169" operator="containsText" text="Reference">
      <formula>NOT(ISERROR(SEARCH("Reference",M38)))</formula>
    </cfRule>
  </conditionalFormatting>
  <conditionalFormatting sqref="J19">
    <cfRule type="containsText" dxfId="599" priority="178" operator="containsText" text="Reference">
      <formula>NOT(ISERROR(SEARCH("Reference",J19)))</formula>
    </cfRule>
  </conditionalFormatting>
  <conditionalFormatting sqref="K19">
    <cfRule type="containsText" dxfId="598" priority="177" operator="containsText" text="Reference">
      <formula>NOT(ISERROR(SEARCH("Reference",K19)))</formula>
    </cfRule>
  </conditionalFormatting>
  <conditionalFormatting sqref="N39">
    <cfRule type="containsText" dxfId="597" priority="172" operator="containsText" text="Reference">
      <formula>NOT(ISERROR(SEARCH("Reference",N39)))</formula>
    </cfRule>
  </conditionalFormatting>
  <conditionalFormatting sqref="N39">
    <cfRule type="containsText" dxfId="596" priority="171" operator="containsText" text="Reference">
      <formula>NOT(ISERROR(SEARCH("Reference",N39)))</formula>
    </cfRule>
  </conditionalFormatting>
  <conditionalFormatting sqref="S39">
    <cfRule type="containsText" dxfId="595" priority="166" operator="containsText" text="Reference">
      <formula>NOT(ISERROR(SEARCH("Reference",S39)))</formula>
    </cfRule>
  </conditionalFormatting>
  <conditionalFormatting sqref="S39">
    <cfRule type="containsText" dxfId="594" priority="165" operator="containsText" text="Reference">
      <formula>NOT(ISERROR(SEARCH("Reference",S39)))</formula>
    </cfRule>
  </conditionalFormatting>
  <conditionalFormatting sqref="H38:I38">
    <cfRule type="containsText" dxfId="593" priority="176" operator="containsText" text="Reference">
      <formula>NOT(ISERROR(SEARCH("Reference",H38)))</formula>
    </cfRule>
  </conditionalFormatting>
  <conditionalFormatting sqref="H38:I38">
    <cfRule type="containsText" dxfId="592" priority="175" operator="containsText" text="Reference">
      <formula>NOT(ISERROR(SEARCH("Reference",H38)))</formula>
    </cfRule>
  </conditionalFormatting>
  <conditionalFormatting sqref="H42:I42">
    <cfRule type="containsText" dxfId="591" priority="174" operator="containsText" text="Reference">
      <formula>NOT(ISERROR(SEARCH("Reference",H42)))</formula>
    </cfRule>
  </conditionalFormatting>
  <conditionalFormatting sqref="H42:I42">
    <cfRule type="containsText" dxfId="590" priority="173" operator="containsText" text="Reference">
      <formula>NOT(ISERROR(SEARCH("Reference",H42)))</formula>
    </cfRule>
  </conditionalFormatting>
  <conditionalFormatting sqref="R38:S38">
    <cfRule type="containsText" dxfId="589" priority="164" operator="containsText" text="Reference">
      <formula>NOT(ISERROR(SEARCH("Reference",R38)))</formula>
    </cfRule>
  </conditionalFormatting>
  <conditionalFormatting sqref="R38:S38">
    <cfRule type="containsText" dxfId="588" priority="163" operator="containsText" text="Reference">
      <formula>NOT(ISERROR(SEARCH("Reference",R38)))</formula>
    </cfRule>
  </conditionalFormatting>
  <conditionalFormatting sqref="R42:S42">
    <cfRule type="containsText" dxfId="587" priority="162" operator="containsText" text="Reference">
      <formula>NOT(ISERROR(SEARCH("Reference",R42)))</formula>
    </cfRule>
  </conditionalFormatting>
  <conditionalFormatting sqref="R42:S42">
    <cfRule type="containsText" dxfId="586" priority="161" operator="containsText" text="Reference">
      <formula>NOT(ISERROR(SEARCH("Reference",R42)))</formula>
    </cfRule>
  </conditionalFormatting>
  <conditionalFormatting sqref="I44">
    <cfRule type="containsText" dxfId="585" priority="160" operator="containsText" text="Reference">
      <formula>NOT(ISERROR(SEARCH("Reference",I44)))</formula>
    </cfRule>
  </conditionalFormatting>
  <conditionalFormatting sqref="I44">
    <cfRule type="containsText" dxfId="584" priority="159" operator="containsText" text="Reference">
      <formula>NOT(ISERROR(SEARCH("Reference",I44)))</formula>
    </cfRule>
  </conditionalFormatting>
  <conditionalFormatting sqref="H44">
    <cfRule type="containsText" dxfId="583" priority="158" operator="containsText" text="Reference">
      <formula>NOT(ISERROR(SEARCH("Reference",H44)))</formula>
    </cfRule>
  </conditionalFormatting>
  <conditionalFormatting sqref="H44">
    <cfRule type="containsText" dxfId="582" priority="157" operator="containsText" text="Reference">
      <formula>NOT(ISERROR(SEARCH("Reference",H44)))</formula>
    </cfRule>
  </conditionalFormatting>
  <conditionalFormatting sqref="G44">
    <cfRule type="containsText" dxfId="581" priority="156" operator="containsText" text="Reference">
      <formula>NOT(ISERROR(SEARCH("Reference",G44)))</formula>
    </cfRule>
  </conditionalFormatting>
  <conditionalFormatting sqref="G44">
    <cfRule type="containsText" dxfId="580" priority="155" operator="containsText" text="Reference">
      <formula>NOT(ISERROR(SEARCH("Reference",G44)))</formula>
    </cfRule>
  </conditionalFormatting>
  <conditionalFormatting sqref="N44">
    <cfRule type="containsText" dxfId="579" priority="154" operator="containsText" text="Reference">
      <formula>NOT(ISERROR(SEARCH("Reference",N44)))</formula>
    </cfRule>
  </conditionalFormatting>
  <conditionalFormatting sqref="N44">
    <cfRule type="containsText" dxfId="578" priority="153" operator="containsText" text="Reference">
      <formula>NOT(ISERROR(SEARCH("Reference",N44)))</formula>
    </cfRule>
  </conditionalFormatting>
  <conditionalFormatting sqref="M44">
    <cfRule type="containsText" dxfId="577" priority="152" operator="containsText" text="Reference">
      <formula>NOT(ISERROR(SEARCH("Reference",M44)))</formula>
    </cfRule>
  </conditionalFormatting>
  <conditionalFormatting sqref="M44">
    <cfRule type="containsText" dxfId="576" priority="151" operator="containsText" text="Reference">
      <formula>NOT(ISERROR(SEARCH("Reference",M44)))</formula>
    </cfRule>
  </conditionalFormatting>
  <conditionalFormatting sqref="L44">
    <cfRule type="containsText" dxfId="575" priority="150" operator="containsText" text="Reference">
      <formula>NOT(ISERROR(SEARCH("Reference",L44)))</formula>
    </cfRule>
  </conditionalFormatting>
  <conditionalFormatting sqref="L44">
    <cfRule type="containsText" dxfId="574" priority="149" operator="containsText" text="Reference">
      <formula>NOT(ISERROR(SEARCH("Reference",L44)))</formula>
    </cfRule>
  </conditionalFormatting>
  <conditionalFormatting sqref="Q44">
    <cfRule type="containsText" dxfId="573" priority="148" operator="containsText" text="Reference">
      <formula>NOT(ISERROR(SEARCH("Reference",Q44)))</formula>
    </cfRule>
  </conditionalFormatting>
  <conditionalFormatting sqref="Q44">
    <cfRule type="containsText" dxfId="572" priority="147" operator="containsText" text="Reference">
      <formula>NOT(ISERROR(SEARCH("Reference",Q44)))</formula>
    </cfRule>
  </conditionalFormatting>
  <conditionalFormatting sqref="R44">
    <cfRule type="containsText" dxfId="571" priority="146" operator="containsText" text="Reference">
      <formula>NOT(ISERROR(SEARCH("Reference",R44)))</formula>
    </cfRule>
  </conditionalFormatting>
  <conditionalFormatting sqref="R44">
    <cfRule type="containsText" dxfId="570" priority="145" operator="containsText" text="Reference">
      <formula>NOT(ISERROR(SEARCH("Reference",R44)))</formula>
    </cfRule>
  </conditionalFormatting>
  <conditionalFormatting sqref="S44">
    <cfRule type="containsText" dxfId="569" priority="144" operator="containsText" text="Reference">
      <formula>NOT(ISERROR(SEARCH("Reference",S44)))</formula>
    </cfRule>
  </conditionalFormatting>
  <conditionalFormatting sqref="S44">
    <cfRule type="containsText" dxfId="568" priority="143" operator="containsText" text="Reference">
      <formula>NOT(ISERROR(SEARCH("Reference",S44)))</formula>
    </cfRule>
  </conditionalFormatting>
  <conditionalFormatting sqref="G40">
    <cfRule type="containsText" dxfId="567" priority="142" operator="containsText" text="Reference">
      <formula>NOT(ISERROR(SEARCH("Reference",G40)))</formula>
    </cfRule>
  </conditionalFormatting>
  <conditionalFormatting sqref="G40">
    <cfRule type="containsText" dxfId="566" priority="141" operator="containsText" text="Reference">
      <formula>NOT(ISERROR(SEARCH("Reference",G40)))</formula>
    </cfRule>
  </conditionalFormatting>
  <conditionalFormatting sqref="L40">
    <cfRule type="containsText" dxfId="565" priority="140" operator="containsText" text="Reference">
      <formula>NOT(ISERROR(SEARCH("Reference",L40)))</formula>
    </cfRule>
  </conditionalFormatting>
  <conditionalFormatting sqref="L40">
    <cfRule type="containsText" dxfId="564" priority="139" operator="containsText" text="Reference">
      <formula>NOT(ISERROR(SEARCH("Reference",L40)))</formula>
    </cfRule>
  </conditionalFormatting>
  <conditionalFormatting sqref="M40">
    <cfRule type="containsText" dxfId="563" priority="138" operator="containsText" text="Reference">
      <formula>NOT(ISERROR(SEARCH("Reference",M40)))</formula>
    </cfRule>
  </conditionalFormatting>
  <conditionalFormatting sqref="M40">
    <cfRule type="containsText" dxfId="562" priority="137" operator="containsText" text="Reference">
      <formula>NOT(ISERROR(SEARCH("Reference",M40)))</formula>
    </cfRule>
  </conditionalFormatting>
  <conditionalFormatting sqref="N40">
    <cfRule type="containsText" dxfId="561" priority="136" operator="containsText" text="Reference">
      <formula>NOT(ISERROR(SEARCH("Reference",N40)))</formula>
    </cfRule>
  </conditionalFormatting>
  <conditionalFormatting sqref="N40">
    <cfRule type="containsText" dxfId="560" priority="135" operator="containsText" text="Reference">
      <formula>NOT(ISERROR(SEARCH("Reference",N40)))</formula>
    </cfRule>
  </conditionalFormatting>
  <conditionalFormatting sqref="Q40">
    <cfRule type="containsText" dxfId="559" priority="134" operator="containsText" text="Reference">
      <formula>NOT(ISERROR(SEARCH("Reference",Q40)))</formula>
    </cfRule>
  </conditionalFormatting>
  <conditionalFormatting sqref="Q40">
    <cfRule type="containsText" dxfId="558" priority="133" operator="containsText" text="Reference">
      <formula>NOT(ISERROR(SEARCH("Reference",Q40)))</formula>
    </cfRule>
  </conditionalFormatting>
  <conditionalFormatting sqref="R40">
    <cfRule type="containsText" dxfId="557" priority="132" operator="containsText" text="Reference">
      <formula>NOT(ISERROR(SEARCH("Reference",R40)))</formula>
    </cfRule>
  </conditionalFormatting>
  <conditionalFormatting sqref="R40">
    <cfRule type="containsText" dxfId="556" priority="131" operator="containsText" text="Reference">
      <formula>NOT(ISERROR(SEARCH("Reference",R40)))</formula>
    </cfRule>
  </conditionalFormatting>
  <conditionalFormatting sqref="S40">
    <cfRule type="containsText" dxfId="555" priority="130" operator="containsText" text="Reference">
      <formula>NOT(ISERROR(SEARCH("Reference",S40)))</formula>
    </cfRule>
  </conditionalFormatting>
  <conditionalFormatting sqref="S40">
    <cfRule type="containsText" dxfId="554" priority="129" operator="containsText" text="Reference">
      <formula>NOT(ISERROR(SEARCH("Reference",S40)))</formula>
    </cfRule>
  </conditionalFormatting>
  <conditionalFormatting sqref="H86:K86 M86:P86 R86:U86">
    <cfRule type="containsText" dxfId="553" priority="125" operator="containsText" text="Reference">
      <formula>NOT(ISERROR(SEARCH("Reference",H86)))</formula>
    </cfRule>
  </conditionalFormatting>
  <conditionalFormatting sqref="H86:K86">
    <cfRule type="containsText" dxfId="552" priority="128" operator="containsText" text="Reference">
      <formula>NOT(ISERROR(SEARCH("Reference",H86)))</formula>
    </cfRule>
  </conditionalFormatting>
  <conditionalFormatting sqref="M86:P86">
    <cfRule type="containsText" dxfId="551" priority="127" operator="containsText" text="Reference">
      <formula>NOT(ISERROR(SEARCH("Reference",M86)))</formula>
    </cfRule>
  </conditionalFormatting>
  <conditionalFormatting sqref="R86:U86">
    <cfRule type="containsText" dxfId="550" priority="126" operator="containsText" text="Reference">
      <formula>NOT(ISERROR(SEARCH("Reference",R86)))</formula>
    </cfRule>
  </conditionalFormatting>
  <conditionalFormatting sqref="B85">
    <cfRule type="containsText" dxfId="549" priority="124" operator="containsText" text="Add here">
      <formula>NOT(ISERROR(SEARCH("Add here",B85)))</formula>
    </cfRule>
  </conditionalFormatting>
  <conditionalFormatting sqref="G86">
    <cfRule type="containsText" dxfId="548" priority="123" operator="containsText" text="Reference">
      <formula>NOT(ISERROR(SEARCH("Reference",G86)))</formula>
    </cfRule>
  </conditionalFormatting>
  <conditionalFormatting sqref="G86">
    <cfRule type="containsText" dxfId="547" priority="122" operator="containsText" text="Reference">
      <formula>NOT(ISERROR(SEARCH("Reference",G86)))</formula>
    </cfRule>
  </conditionalFormatting>
  <conditionalFormatting sqref="D85">
    <cfRule type="containsText" dxfId="546" priority="121" operator="containsText" text="Specify here">
      <formula>NOT(ISERROR(SEARCH("Specify here",D85)))</formula>
    </cfRule>
  </conditionalFormatting>
  <conditionalFormatting sqref="L86">
    <cfRule type="containsText" dxfId="545" priority="120" operator="containsText" text="Reference">
      <formula>NOT(ISERROR(SEARCH("Reference",L86)))</formula>
    </cfRule>
  </conditionalFormatting>
  <conditionalFormatting sqref="L86">
    <cfRule type="containsText" dxfId="544" priority="119" operator="containsText" text="Reference">
      <formula>NOT(ISERROR(SEARCH("Reference",L86)))</formula>
    </cfRule>
  </conditionalFormatting>
  <conditionalFormatting sqref="Q86">
    <cfRule type="containsText" dxfId="543" priority="118" operator="containsText" text="Reference">
      <formula>NOT(ISERROR(SEARCH("Reference",Q86)))</formula>
    </cfRule>
  </conditionalFormatting>
  <conditionalFormatting sqref="Q86">
    <cfRule type="containsText" dxfId="542" priority="117" operator="containsText" text="Reference">
      <formula>NOT(ISERROR(SEARCH("Reference",Q86)))</formula>
    </cfRule>
  </conditionalFormatting>
  <conditionalFormatting sqref="K52 K54 K56">
    <cfRule type="containsText" dxfId="541" priority="116" operator="containsText" text="Reference">
      <formula>NOT(ISERROR(SEARCH("Reference",K52)))</formula>
    </cfRule>
  </conditionalFormatting>
  <conditionalFormatting sqref="K52 K56 K54">
    <cfRule type="containsText" dxfId="540" priority="115" operator="containsText" text="Reference">
      <formula>NOT(ISERROR(SEARCH("Reference",K52)))</formula>
    </cfRule>
  </conditionalFormatting>
  <conditionalFormatting sqref="J52 J54 J56">
    <cfRule type="containsText" dxfId="539" priority="114" operator="containsText" text="Reference">
      <formula>NOT(ISERROR(SEARCH("Reference",J52)))</formula>
    </cfRule>
  </conditionalFormatting>
  <conditionalFormatting sqref="J52 J56 J54">
    <cfRule type="containsText" dxfId="538" priority="113" operator="containsText" text="Reference">
      <formula>NOT(ISERROR(SEARCH("Reference",J52)))</formula>
    </cfRule>
  </conditionalFormatting>
  <conditionalFormatting sqref="J50">
    <cfRule type="containsText" dxfId="537" priority="112" operator="containsText" text="Reference">
      <formula>NOT(ISERROR(SEARCH("Reference",J50)))</formula>
    </cfRule>
  </conditionalFormatting>
  <conditionalFormatting sqref="J50">
    <cfRule type="containsText" dxfId="536" priority="111" operator="containsText" text="Reference">
      <formula>NOT(ISERROR(SEARCH("Reference",J50)))</formula>
    </cfRule>
  </conditionalFormatting>
  <conditionalFormatting sqref="K50">
    <cfRule type="containsText" dxfId="535" priority="110" operator="containsText" text="Reference">
      <formula>NOT(ISERROR(SEARCH("Reference",K50)))</formula>
    </cfRule>
  </conditionalFormatting>
  <conditionalFormatting sqref="K50">
    <cfRule type="containsText" dxfId="534" priority="109" operator="containsText" text="Reference">
      <formula>NOT(ISERROR(SEARCH("Reference",K50)))</formula>
    </cfRule>
  </conditionalFormatting>
  <conditionalFormatting sqref="I52 I54 I56">
    <cfRule type="containsText" dxfId="533" priority="108" operator="containsText" text="Reference">
      <formula>NOT(ISERROR(SEARCH("Reference",I52)))</formula>
    </cfRule>
  </conditionalFormatting>
  <conditionalFormatting sqref="I52 I56 I54">
    <cfRule type="containsText" dxfId="532" priority="107" operator="containsText" text="Reference">
      <formula>NOT(ISERROR(SEARCH("Reference",I52)))</formula>
    </cfRule>
  </conditionalFormatting>
  <conditionalFormatting sqref="H52 H54 H56">
    <cfRule type="containsText" dxfId="531" priority="106" operator="containsText" text="Reference">
      <formula>NOT(ISERROR(SEARCH("Reference",H52)))</formula>
    </cfRule>
  </conditionalFormatting>
  <conditionalFormatting sqref="H52 H56 H54">
    <cfRule type="containsText" dxfId="530" priority="105" operator="containsText" text="Reference">
      <formula>NOT(ISERROR(SEARCH("Reference",H52)))</formula>
    </cfRule>
  </conditionalFormatting>
  <conditionalFormatting sqref="G56">
    <cfRule type="containsText" dxfId="529" priority="104" operator="containsText" text="Reference">
      <formula>NOT(ISERROR(SEARCH("Reference",G56)))</formula>
    </cfRule>
  </conditionalFormatting>
  <conditionalFormatting sqref="G56">
    <cfRule type="containsText" dxfId="528" priority="103" operator="containsText" text="Reference">
      <formula>NOT(ISERROR(SEARCH("Reference",G56)))</formula>
    </cfRule>
  </conditionalFormatting>
  <conditionalFormatting sqref="H50">
    <cfRule type="containsText" dxfId="527" priority="102" operator="containsText" text="Reference">
      <formula>NOT(ISERROR(SEARCH("Reference",H50)))</formula>
    </cfRule>
  </conditionalFormatting>
  <conditionalFormatting sqref="H50">
    <cfRule type="containsText" dxfId="526" priority="101" operator="containsText" text="Reference">
      <formula>NOT(ISERROR(SEARCH("Reference",H50)))</formula>
    </cfRule>
  </conditionalFormatting>
  <conditionalFormatting sqref="I50">
    <cfRule type="containsText" dxfId="525" priority="100" operator="containsText" text="Reference">
      <formula>NOT(ISERROR(SEARCH("Reference",I50)))</formula>
    </cfRule>
  </conditionalFormatting>
  <conditionalFormatting sqref="I50">
    <cfRule type="containsText" dxfId="524" priority="99" operator="containsText" text="Reference">
      <formula>NOT(ISERROR(SEARCH("Reference",I50)))</formula>
    </cfRule>
  </conditionalFormatting>
  <conditionalFormatting sqref="G50">
    <cfRule type="containsText" dxfId="523" priority="98" operator="containsText" text="Reference">
      <formula>NOT(ISERROR(SEARCH("Reference",G50)))</formula>
    </cfRule>
  </conditionalFormatting>
  <conditionalFormatting sqref="G50">
    <cfRule type="containsText" dxfId="522" priority="97" operator="containsText" text="Reference">
      <formula>NOT(ISERROR(SEARCH("Reference",G50)))</formula>
    </cfRule>
  </conditionalFormatting>
  <conditionalFormatting sqref="G50">
    <cfRule type="containsText" dxfId="521" priority="96" operator="containsText" text="Reference">
      <formula>NOT(ISERROR(SEARCH("Reference",G50)))</formula>
    </cfRule>
  </conditionalFormatting>
  <conditionalFormatting sqref="G50">
    <cfRule type="containsText" dxfId="520" priority="95" operator="containsText" text="Reference">
      <formula>NOT(ISERROR(SEARCH("Reference",G50)))</formula>
    </cfRule>
  </conditionalFormatting>
  <conditionalFormatting sqref="G52">
    <cfRule type="containsText" dxfId="519" priority="94" operator="containsText" text="Reference">
      <formula>NOT(ISERROR(SEARCH("Reference",G52)))</formula>
    </cfRule>
  </conditionalFormatting>
  <conditionalFormatting sqref="G52">
    <cfRule type="containsText" dxfId="518" priority="93" operator="containsText" text="Reference">
      <formula>NOT(ISERROR(SEARCH("Reference",G52)))</formula>
    </cfRule>
  </conditionalFormatting>
  <conditionalFormatting sqref="G52">
    <cfRule type="containsText" dxfId="517" priority="92" operator="containsText" text="Reference">
      <formula>NOT(ISERROR(SEARCH("Reference",G52)))</formula>
    </cfRule>
  </conditionalFormatting>
  <conditionalFormatting sqref="G52">
    <cfRule type="containsText" dxfId="516" priority="91" operator="containsText" text="Reference">
      <formula>NOT(ISERROR(SEARCH("Reference",G52)))</formula>
    </cfRule>
  </conditionalFormatting>
  <conditionalFormatting sqref="G54">
    <cfRule type="containsText" dxfId="515" priority="90" operator="containsText" text="Reference">
      <formula>NOT(ISERROR(SEARCH("Reference",G54)))</formula>
    </cfRule>
  </conditionalFormatting>
  <conditionalFormatting sqref="G54">
    <cfRule type="containsText" dxfId="514" priority="89" operator="containsText" text="Reference">
      <formula>NOT(ISERROR(SEARCH("Reference",G54)))</formula>
    </cfRule>
  </conditionalFormatting>
  <conditionalFormatting sqref="G54">
    <cfRule type="containsText" dxfId="513" priority="88" operator="containsText" text="Reference">
      <formula>NOT(ISERROR(SEARCH("Reference",G54)))</formula>
    </cfRule>
  </conditionalFormatting>
  <conditionalFormatting sqref="G54">
    <cfRule type="containsText" dxfId="512" priority="87" operator="containsText" text="Reference">
      <formula>NOT(ISERROR(SEARCH("Reference",G54)))</formula>
    </cfRule>
  </conditionalFormatting>
  <conditionalFormatting sqref="L56">
    <cfRule type="containsText" dxfId="511" priority="86" operator="containsText" text="Reference">
      <formula>NOT(ISERROR(SEARCH("Reference",L56)))</formula>
    </cfRule>
  </conditionalFormatting>
  <conditionalFormatting sqref="L56">
    <cfRule type="containsText" dxfId="510" priority="85" operator="containsText" text="Reference">
      <formula>NOT(ISERROR(SEARCH("Reference",L56)))</formula>
    </cfRule>
  </conditionalFormatting>
  <conditionalFormatting sqref="L50">
    <cfRule type="containsText" dxfId="509" priority="84" operator="containsText" text="Reference">
      <formula>NOT(ISERROR(SEARCH("Reference",L50)))</formula>
    </cfRule>
  </conditionalFormatting>
  <conditionalFormatting sqref="L50">
    <cfRule type="containsText" dxfId="508" priority="83" operator="containsText" text="Reference">
      <formula>NOT(ISERROR(SEARCH("Reference",L50)))</formula>
    </cfRule>
  </conditionalFormatting>
  <conditionalFormatting sqref="L50">
    <cfRule type="containsText" dxfId="507" priority="82" operator="containsText" text="Reference">
      <formula>NOT(ISERROR(SEARCH("Reference",L50)))</formula>
    </cfRule>
  </conditionalFormatting>
  <conditionalFormatting sqref="L50">
    <cfRule type="containsText" dxfId="506" priority="81" operator="containsText" text="Reference">
      <formula>NOT(ISERROR(SEARCH("Reference",L50)))</formula>
    </cfRule>
  </conditionalFormatting>
  <conditionalFormatting sqref="L52">
    <cfRule type="containsText" dxfId="505" priority="80" operator="containsText" text="Reference">
      <formula>NOT(ISERROR(SEARCH("Reference",L52)))</formula>
    </cfRule>
  </conditionalFormatting>
  <conditionalFormatting sqref="L52">
    <cfRule type="containsText" dxfId="504" priority="79" operator="containsText" text="Reference">
      <formula>NOT(ISERROR(SEARCH("Reference",L52)))</formula>
    </cfRule>
  </conditionalFormatting>
  <conditionalFormatting sqref="L52">
    <cfRule type="containsText" dxfId="503" priority="78" operator="containsText" text="Reference">
      <formula>NOT(ISERROR(SEARCH("Reference",L52)))</formula>
    </cfRule>
  </conditionalFormatting>
  <conditionalFormatting sqref="L52">
    <cfRule type="containsText" dxfId="502" priority="77" operator="containsText" text="Reference">
      <formula>NOT(ISERROR(SEARCH("Reference",L52)))</formula>
    </cfRule>
  </conditionalFormatting>
  <conditionalFormatting sqref="L54">
    <cfRule type="containsText" dxfId="501" priority="76" operator="containsText" text="Reference">
      <formula>NOT(ISERROR(SEARCH("Reference",L54)))</formula>
    </cfRule>
  </conditionalFormatting>
  <conditionalFormatting sqref="L54">
    <cfRule type="containsText" dxfId="500" priority="75" operator="containsText" text="Reference">
      <formula>NOT(ISERROR(SEARCH("Reference",L54)))</formula>
    </cfRule>
  </conditionalFormatting>
  <conditionalFormatting sqref="L54">
    <cfRule type="containsText" dxfId="499" priority="74" operator="containsText" text="Reference">
      <formula>NOT(ISERROR(SEARCH("Reference",L54)))</formula>
    </cfRule>
  </conditionalFormatting>
  <conditionalFormatting sqref="L54">
    <cfRule type="containsText" dxfId="498" priority="73" operator="containsText" text="Reference">
      <formula>NOT(ISERROR(SEARCH("Reference",L54)))</formula>
    </cfRule>
  </conditionalFormatting>
  <conditionalFormatting sqref="Q56">
    <cfRule type="containsText" dxfId="497" priority="72" operator="containsText" text="Reference">
      <formula>NOT(ISERROR(SEARCH("Reference",Q56)))</formula>
    </cfRule>
  </conditionalFormatting>
  <conditionalFormatting sqref="Q56">
    <cfRule type="containsText" dxfId="496" priority="71" operator="containsText" text="Reference">
      <formula>NOT(ISERROR(SEARCH("Reference",Q56)))</formula>
    </cfRule>
  </conditionalFormatting>
  <conditionalFormatting sqref="Q50">
    <cfRule type="containsText" dxfId="495" priority="70" operator="containsText" text="Reference">
      <formula>NOT(ISERROR(SEARCH("Reference",Q50)))</formula>
    </cfRule>
  </conditionalFormatting>
  <conditionalFormatting sqref="Q50">
    <cfRule type="containsText" dxfId="494" priority="69" operator="containsText" text="Reference">
      <formula>NOT(ISERROR(SEARCH("Reference",Q50)))</formula>
    </cfRule>
  </conditionalFormatting>
  <conditionalFormatting sqref="Q50">
    <cfRule type="containsText" dxfId="493" priority="68" operator="containsText" text="Reference">
      <formula>NOT(ISERROR(SEARCH("Reference",Q50)))</formula>
    </cfRule>
  </conditionalFormatting>
  <conditionalFormatting sqref="Q50">
    <cfRule type="containsText" dxfId="492" priority="67" operator="containsText" text="Reference">
      <formula>NOT(ISERROR(SEARCH("Reference",Q50)))</formula>
    </cfRule>
  </conditionalFormatting>
  <conditionalFormatting sqref="Q52">
    <cfRule type="containsText" dxfId="491" priority="66" operator="containsText" text="Reference">
      <formula>NOT(ISERROR(SEARCH("Reference",Q52)))</formula>
    </cfRule>
  </conditionalFormatting>
  <conditionalFormatting sqref="Q52">
    <cfRule type="containsText" dxfId="490" priority="65" operator="containsText" text="Reference">
      <formula>NOT(ISERROR(SEARCH("Reference",Q52)))</formula>
    </cfRule>
  </conditionalFormatting>
  <conditionalFormatting sqref="Q52">
    <cfRule type="containsText" dxfId="489" priority="64" operator="containsText" text="Reference">
      <formula>NOT(ISERROR(SEARCH("Reference",Q52)))</formula>
    </cfRule>
  </conditionalFormatting>
  <conditionalFormatting sqref="Q52">
    <cfRule type="containsText" dxfId="488" priority="63" operator="containsText" text="Reference">
      <formula>NOT(ISERROR(SEARCH("Reference",Q52)))</formula>
    </cfRule>
  </conditionalFormatting>
  <conditionalFormatting sqref="Q54">
    <cfRule type="containsText" dxfId="487" priority="62" operator="containsText" text="Reference">
      <formula>NOT(ISERROR(SEARCH("Reference",Q54)))</formula>
    </cfRule>
  </conditionalFormatting>
  <conditionalFormatting sqref="Q54">
    <cfRule type="containsText" dxfId="486" priority="61" operator="containsText" text="Reference">
      <formula>NOT(ISERROR(SEARCH("Reference",Q54)))</formula>
    </cfRule>
  </conditionalFormatting>
  <conditionalFormatting sqref="Q54">
    <cfRule type="containsText" dxfId="485" priority="60" operator="containsText" text="Reference">
      <formula>NOT(ISERROR(SEARCH("Reference",Q54)))</formula>
    </cfRule>
  </conditionalFormatting>
  <conditionalFormatting sqref="Q54">
    <cfRule type="containsText" dxfId="484" priority="59" operator="containsText" text="Reference">
      <formula>NOT(ISERROR(SEARCH("Reference",Q54)))</formula>
    </cfRule>
  </conditionalFormatting>
  <conditionalFormatting sqref="S52">
    <cfRule type="containsText" dxfId="483" priority="58" operator="containsText" text="Reference">
      <formula>NOT(ISERROR(SEARCH("Reference",S52)))</formula>
    </cfRule>
  </conditionalFormatting>
  <conditionalFormatting sqref="S52">
    <cfRule type="containsText" dxfId="482" priority="57" operator="containsText" text="Reference">
      <formula>NOT(ISERROR(SEARCH("Reference",S52)))</formula>
    </cfRule>
  </conditionalFormatting>
  <conditionalFormatting sqref="S54">
    <cfRule type="containsText" dxfId="481" priority="56" operator="containsText" text="Reference">
      <formula>NOT(ISERROR(SEARCH("Reference",S54)))</formula>
    </cfRule>
  </conditionalFormatting>
  <conditionalFormatting sqref="S54">
    <cfRule type="containsText" dxfId="480" priority="55" operator="containsText" text="Reference">
      <formula>NOT(ISERROR(SEARCH("Reference",S54)))</formula>
    </cfRule>
  </conditionalFormatting>
  <conditionalFormatting sqref="S56">
    <cfRule type="containsText" dxfId="479" priority="54" operator="containsText" text="Reference">
      <formula>NOT(ISERROR(SEARCH("Reference",S56)))</formula>
    </cfRule>
  </conditionalFormatting>
  <conditionalFormatting sqref="S56">
    <cfRule type="containsText" dxfId="478" priority="53" operator="containsText" text="Reference">
      <formula>NOT(ISERROR(SEARCH("Reference",S56)))</formula>
    </cfRule>
  </conditionalFormatting>
  <conditionalFormatting sqref="S50">
    <cfRule type="containsText" dxfId="477" priority="52" operator="containsText" text="Reference">
      <formula>NOT(ISERROR(SEARCH("Reference",S50)))</formula>
    </cfRule>
  </conditionalFormatting>
  <conditionalFormatting sqref="S50">
    <cfRule type="containsText" dxfId="476" priority="51" operator="containsText" text="Reference">
      <formula>NOT(ISERROR(SEARCH("Reference",S50)))</formula>
    </cfRule>
  </conditionalFormatting>
  <conditionalFormatting sqref="N52">
    <cfRule type="containsText" dxfId="475" priority="50" operator="containsText" text="Reference">
      <formula>NOT(ISERROR(SEARCH("Reference",N52)))</formula>
    </cfRule>
  </conditionalFormatting>
  <conditionalFormatting sqref="N52">
    <cfRule type="containsText" dxfId="474" priority="49" operator="containsText" text="Reference">
      <formula>NOT(ISERROR(SEARCH("Reference",N52)))</formula>
    </cfRule>
  </conditionalFormatting>
  <conditionalFormatting sqref="N54">
    <cfRule type="containsText" dxfId="473" priority="48" operator="containsText" text="Reference">
      <formula>NOT(ISERROR(SEARCH("Reference",N54)))</formula>
    </cfRule>
  </conditionalFormatting>
  <conditionalFormatting sqref="N54">
    <cfRule type="containsText" dxfId="472" priority="47" operator="containsText" text="Reference">
      <formula>NOT(ISERROR(SEARCH("Reference",N54)))</formula>
    </cfRule>
  </conditionalFormatting>
  <conditionalFormatting sqref="N56">
    <cfRule type="containsText" dxfId="471" priority="46" operator="containsText" text="Reference">
      <formula>NOT(ISERROR(SEARCH("Reference",N56)))</formula>
    </cfRule>
  </conditionalFormatting>
  <conditionalFormatting sqref="N56">
    <cfRule type="containsText" dxfId="470" priority="45" operator="containsText" text="Reference">
      <formula>NOT(ISERROR(SEARCH("Reference",N56)))</formula>
    </cfRule>
  </conditionalFormatting>
  <conditionalFormatting sqref="N50">
    <cfRule type="containsText" dxfId="469" priority="44" operator="containsText" text="Reference">
      <formula>NOT(ISERROR(SEARCH("Reference",N50)))</formula>
    </cfRule>
  </conditionalFormatting>
  <conditionalFormatting sqref="N50">
    <cfRule type="containsText" dxfId="468" priority="43" operator="containsText" text="Reference">
      <formula>NOT(ISERROR(SEARCH("Reference",N50)))</formula>
    </cfRule>
  </conditionalFormatting>
  <conditionalFormatting sqref="K40">
    <cfRule type="containsText" dxfId="467" priority="42" operator="containsText" text="Reference">
      <formula>NOT(ISERROR(SEARCH("Reference",K40)))</formula>
    </cfRule>
  </conditionalFormatting>
  <conditionalFormatting sqref="K40">
    <cfRule type="containsText" dxfId="466" priority="41" operator="containsText" text="Reference">
      <formula>NOT(ISERROR(SEARCH("Reference",K40)))</formula>
    </cfRule>
  </conditionalFormatting>
  <conditionalFormatting sqref="K39">
    <cfRule type="containsText" dxfId="465" priority="40" operator="containsText" text="Reference">
      <formula>NOT(ISERROR(SEARCH("Reference",K39)))</formula>
    </cfRule>
  </conditionalFormatting>
  <conditionalFormatting sqref="K39">
    <cfRule type="containsText" dxfId="464" priority="39" operator="containsText" text="Reference">
      <formula>NOT(ISERROR(SEARCH("Reference",K39)))</formula>
    </cfRule>
  </conditionalFormatting>
  <conditionalFormatting sqref="K38">
    <cfRule type="containsText" dxfId="463" priority="38" operator="containsText" text="Reference">
      <formula>NOT(ISERROR(SEARCH("Reference",K38)))</formula>
    </cfRule>
  </conditionalFormatting>
  <conditionalFormatting sqref="K38">
    <cfRule type="containsText" dxfId="462" priority="37" operator="containsText" text="Reference">
      <formula>NOT(ISERROR(SEARCH("Reference",K38)))</formula>
    </cfRule>
  </conditionalFormatting>
  <conditionalFormatting sqref="K42">
    <cfRule type="containsText" dxfId="461" priority="36" operator="containsText" text="Reference">
      <formula>NOT(ISERROR(SEARCH("Reference",K42)))</formula>
    </cfRule>
  </conditionalFormatting>
  <conditionalFormatting sqref="K42">
    <cfRule type="containsText" dxfId="460" priority="35" operator="containsText" text="Reference">
      <formula>NOT(ISERROR(SEARCH("Reference",K42)))</formula>
    </cfRule>
  </conditionalFormatting>
  <conditionalFormatting sqref="P40">
    <cfRule type="containsText" dxfId="459" priority="34" operator="containsText" text="Reference">
      <formula>NOT(ISERROR(SEARCH("Reference",P40)))</formula>
    </cfRule>
  </conditionalFormatting>
  <conditionalFormatting sqref="P40">
    <cfRule type="containsText" dxfId="458" priority="33" operator="containsText" text="Reference">
      <formula>NOT(ISERROR(SEARCH("Reference",P40)))</formula>
    </cfRule>
  </conditionalFormatting>
  <conditionalFormatting sqref="P39">
    <cfRule type="containsText" dxfId="457" priority="32" operator="containsText" text="Reference">
      <formula>NOT(ISERROR(SEARCH("Reference",P39)))</formula>
    </cfRule>
  </conditionalFormatting>
  <conditionalFormatting sqref="P39">
    <cfRule type="containsText" dxfId="456" priority="31" operator="containsText" text="Reference">
      <formula>NOT(ISERROR(SEARCH("Reference",P39)))</formula>
    </cfRule>
  </conditionalFormatting>
  <conditionalFormatting sqref="P38">
    <cfRule type="containsText" dxfId="455" priority="30" operator="containsText" text="Reference">
      <formula>NOT(ISERROR(SEARCH("Reference",P38)))</formula>
    </cfRule>
  </conditionalFormatting>
  <conditionalFormatting sqref="P38">
    <cfRule type="containsText" dxfId="454" priority="29" operator="containsText" text="Reference">
      <formula>NOT(ISERROR(SEARCH("Reference",P38)))</formula>
    </cfRule>
  </conditionalFormatting>
  <conditionalFormatting sqref="P42">
    <cfRule type="containsText" dxfId="453" priority="28" operator="containsText" text="Reference">
      <formula>NOT(ISERROR(SEARCH("Reference",P42)))</formula>
    </cfRule>
  </conditionalFormatting>
  <conditionalFormatting sqref="P42">
    <cfRule type="containsText" dxfId="452" priority="27" operator="containsText" text="Reference">
      <formula>NOT(ISERROR(SEARCH("Reference",P42)))</formula>
    </cfRule>
  </conditionalFormatting>
  <conditionalFormatting sqref="K44">
    <cfRule type="containsText" dxfId="451" priority="26" operator="containsText" text="Reference">
      <formula>NOT(ISERROR(SEARCH("Reference",K44)))</formula>
    </cfRule>
  </conditionalFormatting>
  <conditionalFormatting sqref="K44">
    <cfRule type="containsText" dxfId="450" priority="25" operator="containsText" text="Reference">
      <formula>NOT(ISERROR(SEARCH("Reference",K44)))</formula>
    </cfRule>
  </conditionalFormatting>
  <conditionalFormatting sqref="P44">
    <cfRule type="containsText" dxfId="449" priority="24" operator="containsText" text="Reference">
      <formula>NOT(ISERROR(SEARCH("Reference",P44)))</formula>
    </cfRule>
  </conditionalFormatting>
  <conditionalFormatting sqref="P44">
    <cfRule type="containsText" dxfId="448" priority="23" operator="containsText" text="Reference">
      <formula>NOT(ISERROR(SEARCH("Reference",P44)))</formula>
    </cfRule>
  </conditionalFormatting>
  <conditionalFormatting sqref="M52 M54 M56">
    <cfRule type="containsText" dxfId="447" priority="22" operator="containsText" text="Reference">
      <formula>NOT(ISERROR(SEARCH("Reference",M52)))</formula>
    </cfRule>
  </conditionalFormatting>
  <conditionalFormatting sqref="M52 M56 M54">
    <cfRule type="containsText" dxfId="446" priority="21" operator="containsText" text="Reference">
      <formula>NOT(ISERROR(SEARCH("Reference",M52)))</formula>
    </cfRule>
  </conditionalFormatting>
  <conditionalFormatting sqref="M50">
    <cfRule type="containsText" dxfId="445" priority="20" operator="containsText" text="Reference">
      <formula>NOT(ISERROR(SEARCH("Reference",M50)))</formula>
    </cfRule>
  </conditionalFormatting>
  <conditionalFormatting sqref="M50">
    <cfRule type="containsText" dxfId="444" priority="19" operator="containsText" text="Reference">
      <formula>NOT(ISERROR(SEARCH("Reference",M50)))</formula>
    </cfRule>
  </conditionalFormatting>
  <conditionalFormatting sqref="R52 R54 R56">
    <cfRule type="containsText" dxfId="443" priority="18" operator="containsText" text="Reference">
      <formula>NOT(ISERROR(SEARCH("Reference",R52)))</formula>
    </cfRule>
  </conditionalFormatting>
  <conditionalFormatting sqref="R52 R56 R54">
    <cfRule type="containsText" dxfId="442" priority="17" operator="containsText" text="Reference">
      <formula>NOT(ISERROR(SEARCH("Reference",R52)))</formula>
    </cfRule>
  </conditionalFormatting>
  <conditionalFormatting sqref="R50">
    <cfRule type="containsText" dxfId="441" priority="16" operator="containsText" text="Reference">
      <formula>NOT(ISERROR(SEARCH("Reference",R50)))</formula>
    </cfRule>
  </conditionalFormatting>
  <conditionalFormatting sqref="R50">
    <cfRule type="containsText" dxfId="440" priority="15" operator="containsText" text="Reference">
      <formula>NOT(ISERROR(SEARCH("Reference",R50)))</formula>
    </cfRule>
  </conditionalFormatting>
  <conditionalFormatting sqref="H84:K84 M84:P84 R84:U84">
    <cfRule type="containsText" dxfId="439" priority="11" operator="containsText" text="Reference">
      <formula>NOT(ISERROR(SEARCH("Reference",H84)))</formula>
    </cfRule>
  </conditionalFormatting>
  <conditionalFormatting sqref="H84:K84">
    <cfRule type="containsText" dxfId="438" priority="14" operator="containsText" text="Reference">
      <formula>NOT(ISERROR(SEARCH("Reference",H84)))</formula>
    </cfRule>
  </conditionalFormatting>
  <conditionalFormatting sqref="M84:P84">
    <cfRule type="containsText" dxfId="437" priority="13" operator="containsText" text="Reference">
      <formula>NOT(ISERROR(SEARCH("Reference",M84)))</formula>
    </cfRule>
  </conditionalFormatting>
  <conditionalFormatting sqref="R84:U84">
    <cfRule type="containsText" dxfId="436" priority="12" operator="containsText" text="Reference">
      <formula>NOT(ISERROR(SEARCH("Reference",R84)))</formula>
    </cfRule>
  </conditionalFormatting>
  <conditionalFormatting sqref="B83">
    <cfRule type="containsText" dxfId="435" priority="10" operator="containsText" text="Add here">
      <formula>NOT(ISERROR(SEARCH("Add here",B83)))</formula>
    </cfRule>
  </conditionalFormatting>
  <conditionalFormatting sqref="G84">
    <cfRule type="containsText" dxfId="434" priority="9" operator="containsText" text="Reference">
      <formula>NOT(ISERROR(SEARCH("Reference",G84)))</formula>
    </cfRule>
  </conditionalFormatting>
  <conditionalFormatting sqref="G84">
    <cfRule type="containsText" dxfId="433" priority="8" operator="containsText" text="Reference">
      <formula>NOT(ISERROR(SEARCH("Reference",G84)))</formula>
    </cfRule>
  </conditionalFormatting>
  <conditionalFormatting sqref="D83">
    <cfRule type="containsText" dxfId="432" priority="7" operator="containsText" text="Specify here">
      <formula>NOT(ISERROR(SEARCH("Specify here",D83)))</formula>
    </cfRule>
  </conditionalFormatting>
  <conditionalFormatting sqref="L84">
    <cfRule type="containsText" dxfId="431" priority="6" operator="containsText" text="Reference">
      <formula>NOT(ISERROR(SEARCH("Reference",L84)))</formula>
    </cfRule>
  </conditionalFormatting>
  <conditionalFormatting sqref="L84">
    <cfRule type="containsText" dxfId="430" priority="5" operator="containsText" text="Reference">
      <formula>NOT(ISERROR(SEARCH("Reference",L84)))</formula>
    </cfRule>
  </conditionalFormatting>
  <conditionalFormatting sqref="Q84">
    <cfRule type="containsText" dxfId="429" priority="4" operator="containsText" text="Reference">
      <formula>NOT(ISERROR(SEARCH("Reference",Q84)))</formula>
    </cfRule>
  </conditionalFormatting>
  <conditionalFormatting sqref="Q84">
    <cfRule type="containsText" dxfId="428" priority="3" operator="containsText" text="Reference">
      <formula>NOT(ISERROR(SEARCH("Reference",Q84)))</formula>
    </cfRule>
  </conditionalFormatting>
  <conditionalFormatting sqref="B87">
    <cfRule type="containsText" dxfId="427" priority="2" operator="containsText" text="Add here">
      <formula>NOT(ISERROR(SEARCH("Add here",B87)))</formula>
    </cfRule>
  </conditionalFormatting>
  <conditionalFormatting sqref="D87">
    <cfRule type="containsText" dxfId="426" priority="1" operator="containsText" text="Specify here">
      <formula>NOT(ISERROR(SEARCH("Specify here",D87)))</formula>
    </cfRule>
  </conditionalFormatting>
  <dataValidations count="7">
    <dataValidation type="list" allowBlank="1" showInputMessage="1" showErrorMessage="1" prompt="More details are found in 'READ ME' tab" sqref="M12:O12" xr:uid="{BDD7ED30-DAF7-4A5F-879F-68E045C1BF1F}">
      <formula1>$C$17:$C$29</formula1>
    </dataValidation>
    <dataValidation type="list" allowBlank="1" showInputMessage="1" showErrorMessage="1" sqref="L7:O7" xr:uid="{46C9E4C9-F8CC-492E-9342-129E91EAA144}">
      <formula1>$B$3:$B$24</formula1>
    </dataValidation>
    <dataValidation type="list" allowBlank="1" showInputMessage="1" showErrorMessage="1" sqref="L10:O10" xr:uid="{D6536BB1-3CEB-43F5-8D86-2F835042AAA0}">
      <formula1>$D$3:$D$14</formula1>
    </dataValidation>
    <dataValidation type="list" allowBlank="1" showInputMessage="1" showErrorMessage="1" sqref="L9:O9" xr:uid="{AE1FDCDD-23A9-4391-861A-F7BC16FC3071}">
      <formula1>$X$1:$X$4</formula1>
    </dataValidation>
    <dataValidation type="list" allowBlank="1" showInputMessage="1" showErrorMessage="1" sqref="L32:O32" xr:uid="{A3195AF8-0A57-4474-9F26-47F95A6D1879}">
      <formula1>$X$6:$X$8</formula1>
    </dataValidation>
    <dataValidation type="textLength" operator="lessThanOrEqual" allowBlank="1" showInputMessage="1" showErrorMessage="1" error="The cell only allows up to 700 characters._x000a_" prompt="Maximum length: 700 characters" sqref="M11 O11" xr:uid="{C342BED5-F988-4B70-9EA8-1CB36F31CBB0}">
      <formula1>700</formula1>
    </dataValidation>
    <dataValidation allowBlank="1" showInputMessage="1" showErrorMessage="1" prompt="More details are found in 'READ ME' tab" sqref="L13:O13 D13" xr:uid="{F11C3490-974E-44F2-A7AD-28656B0F756C}"/>
  </dataValidations>
  <hyperlinks>
    <hyperlink ref="C91" r:id="rId1" xr:uid="{AA6D3CF6-FC44-48C2-AB2E-0A730E27187C}"/>
    <hyperlink ref="O8" r:id="rId2" xr:uid="{CD510FC4-0089-43BA-92CA-28E6B741897B}"/>
  </hyperlinks>
  <pageMargins left="0.7" right="0.7" top="0.75" bottom="0.75" header="0.3" footer="0.3"/>
  <pageSetup paperSize="9" scale="15" orientation="landscape" r:id="rId3"/>
  <drawing r:id="rId4"/>
  <legacyDrawing r:id="rId5"/>
  <extLst>
    <ext xmlns:x14="http://schemas.microsoft.com/office/spreadsheetml/2009/9/main" uri="{CCE6A557-97BC-4b89-ADB6-D9C93CAAB3DF}">
      <x14:dataValidations xmlns:xm="http://schemas.microsoft.com/office/excel/2006/main" count="12">
        <x14:dataValidation type="list" allowBlank="1" showInputMessage="1" showErrorMessage="1" xr:uid="{629B9484-9C52-4819-8B00-CE317E706D8C}">
          <x14:formula1>
            <xm:f>List!$H$4:$H$15</xm:f>
          </x14:formula1>
          <xm:sqref>D28:K28</xm:sqref>
        </x14:dataValidation>
        <x14:dataValidation type="list" allowBlank="1" showInputMessage="1" showErrorMessage="1" xr:uid="{7690E0F9-143A-45AF-A82E-9EE9A0B51134}">
          <x14:formula1>
            <xm:f>List!$J$3:$J$68</xm:f>
          </x14:formula1>
          <xm:sqref>D51:E56</xm:sqref>
        </x14:dataValidation>
        <x14:dataValidation type="list" allowBlank="1" showInputMessage="1" showErrorMessage="1" xr:uid="{F5EE218E-0595-4F1B-BC51-E28A0AF7335D}">
          <x14:formula1>
            <xm:f>List!$X$10:$X$13</xm:f>
          </x14:formula1>
          <xm:sqref>F21</xm:sqref>
        </x14:dataValidation>
        <x14:dataValidation type="list" allowBlank="1" showInputMessage="1" showErrorMessage="1" xr:uid="{827881A6-58B2-4544-8C74-AA59E088778E}">
          <x14:formula1>
            <xm:f>List!$J$2:$J$74</xm:f>
          </x14:formula1>
          <xm:sqref>D49:E50</xm:sqref>
        </x14:dataValidation>
        <x14:dataValidation type="list" allowBlank="1" showInputMessage="1" showErrorMessage="1" xr:uid="{6B2CD4BE-1183-46EE-AB5C-7ABE55CB1609}">
          <x14:formula1>
            <xm:f>List!$P$3:$P$13</xm:f>
          </x14:formula1>
          <xm:sqref>D69:E76</xm:sqref>
        </x14:dataValidation>
        <x14:dataValidation type="list" allowBlank="1" showInputMessage="1" showErrorMessage="1" xr:uid="{29454D30-5F54-40FB-BE47-A263570511A1}">
          <x14:formula1>
            <xm:f>List!$X$2:$X$4</xm:f>
          </x14:formula1>
          <xm:sqref>D9:K9</xm:sqref>
        </x14:dataValidation>
        <x14:dataValidation type="list" allowBlank="1" showInputMessage="1" showErrorMessage="1" xr:uid="{36527E06-ADEB-4EBD-9779-EE5A56026D58}">
          <x14:formula1>
            <xm:f>List!$F$3:$F$17</xm:f>
          </x14:formula1>
          <xm:sqref>D15:K16</xm:sqref>
        </x14:dataValidation>
        <x14:dataValidation type="list" allowBlank="1" showInputMessage="1" showErrorMessage="1" xr:uid="{C86F3649-8BC9-4F84-A6D0-C14111E798B5}">
          <x14:formula1>
            <xm:f>List!$B$3:$B$25</xm:f>
          </x14:formula1>
          <xm:sqref>D7</xm:sqref>
        </x14:dataValidation>
        <x14:dataValidation type="list" allowBlank="1" showInputMessage="1" showErrorMessage="1" xr:uid="{38C68084-C20B-4625-AE98-4560EA89F5BC}">
          <x14:formula1>
            <xm:f>List!$R$3:$R$6</xm:f>
          </x14:formula1>
          <xm:sqref>F69:F76</xm:sqref>
        </x14:dataValidation>
        <x14:dataValidation type="list" allowBlank="1" showInputMessage="1" showErrorMessage="1" xr:uid="{BC1C3CD3-882C-46AD-BCB1-4DDBF874B280}">
          <x14:formula1>
            <xm:f>List!$D$3:$D$17</xm:f>
          </x14:formula1>
          <xm:sqref>D10</xm:sqref>
        </x14:dataValidation>
        <x14:dataValidation type="list" allowBlank="1" showInputMessage="1" showErrorMessage="1" xr:uid="{2CD7D52D-665C-4057-9115-4D1C86C49F20}">
          <x14:formula1>
            <xm:f>List!$X$6:$X$8</xm:f>
          </x14:formula1>
          <xm:sqref>D32</xm:sqref>
        </x14:dataValidation>
        <x14:dataValidation type="list" allowBlank="1" showInputMessage="1" showErrorMessage="1" prompt="More details are found in 'READ ME' tab" xr:uid="{C5ABF976-99AE-45EF-B4C1-2A804649C6DC}">
          <x14:formula1>
            <xm:f>'READ ME'!$C$21:$C$29</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02141-22E3-4AB2-BEC5-D35654116164}">
  <sheetPr>
    <tabColor theme="7" tint="0.59999389629810485"/>
  </sheetPr>
  <dimension ref="C8:G72"/>
  <sheetViews>
    <sheetView topLeftCell="A34" workbookViewId="0">
      <selection activeCell="E69" sqref="E69:E71"/>
    </sheetView>
  </sheetViews>
  <sheetFormatPr defaultRowHeight="15.75"/>
  <cols>
    <col min="3" max="3" width="22.125" bestFit="1" customWidth="1"/>
    <col min="4" max="4" width="33.375" customWidth="1"/>
    <col min="5" max="5" width="5.25" bestFit="1" customWidth="1"/>
    <col min="6" max="6" width="21.375" customWidth="1"/>
    <col min="7" max="7" width="45.375" bestFit="1" customWidth="1"/>
    <col min="8" max="8" width="21.375" customWidth="1"/>
  </cols>
  <sheetData>
    <row r="8" spans="3:7" ht="16.5" thickBot="1">
      <c r="C8" s="162" t="s">
        <v>252</v>
      </c>
      <c r="D8" s="162" t="s">
        <v>253</v>
      </c>
      <c r="E8" s="162" t="s">
        <v>254</v>
      </c>
      <c r="F8" s="162" t="s">
        <v>255</v>
      </c>
      <c r="G8" s="162" t="s">
        <v>256</v>
      </c>
    </row>
    <row r="9" spans="3:7">
      <c r="C9" t="s">
        <v>192</v>
      </c>
      <c r="D9">
        <v>2.0215982721382288</v>
      </c>
      <c r="E9" s="143">
        <v>2</v>
      </c>
      <c r="F9" s="164">
        <v>44894</v>
      </c>
      <c r="G9" t="s">
        <v>257</v>
      </c>
    </row>
    <row r="10" spans="3:7">
      <c r="C10" t="s">
        <v>66</v>
      </c>
      <c r="D10" s="165">
        <v>0.79908675799086759</v>
      </c>
      <c r="E10" s="125">
        <v>0.8</v>
      </c>
      <c r="F10" s="164">
        <v>44895</v>
      </c>
      <c r="G10" t="s">
        <v>258</v>
      </c>
    </row>
    <row r="11" spans="3:7">
      <c r="C11" t="s">
        <v>90</v>
      </c>
      <c r="D11">
        <v>1.0053282396702523</v>
      </c>
      <c r="E11">
        <v>1.01</v>
      </c>
      <c r="F11" s="164">
        <v>44895</v>
      </c>
      <c r="G11" t="s">
        <v>258</v>
      </c>
    </row>
    <row r="12" spans="3:7">
      <c r="C12" t="s">
        <v>90</v>
      </c>
      <c r="D12">
        <v>0.87463556851311952</v>
      </c>
      <c r="E12">
        <v>0.87</v>
      </c>
      <c r="F12" s="164">
        <v>44895</v>
      </c>
      <c r="G12" t="s">
        <v>258</v>
      </c>
    </row>
    <row r="13" spans="3:7">
      <c r="C13" t="s">
        <v>90</v>
      </c>
      <c r="D13">
        <v>1.2164471700010053</v>
      </c>
      <c r="E13">
        <v>1.22</v>
      </c>
      <c r="F13" s="164">
        <v>44895</v>
      </c>
      <c r="G13" t="s">
        <v>258</v>
      </c>
    </row>
    <row r="14" spans="3:7">
      <c r="C14" t="s">
        <v>90</v>
      </c>
      <c r="D14">
        <v>1.0825858335910918</v>
      </c>
      <c r="E14">
        <v>1.08</v>
      </c>
      <c r="F14" s="164">
        <v>44895</v>
      </c>
      <c r="G14" t="s">
        <v>258</v>
      </c>
    </row>
    <row r="15" spans="3:7">
      <c r="C15" t="s">
        <v>90</v>
      </c>
      <c r="D15">
        <v>0.98017994470151482</v>
      </c>
      <c r="E15">
        <v>0.98</v>
      </c>
      <c r="F15" s="164">
        <v>44895</v>
      </c>
      <c r="G15" t="s">
        <v>258</v>
      </c>
    </row>
    <row r="16" spans="3:7">
      <c r="C16" t="s">
        <v>90</v>
      </c>
      <c r="D16">
        <v>0.99527495727354987</v>
      </c>
      <c r="E16">
        <v>1</v>
      </c>
      <c r="F16" s="164">
        <v>44895</v>
      </c>
      <c r="G16" t="s">
        <v>258</v>
      </c>
    </row>
    <row r="17" spans="3:7">
      <c r="C17" t="s">
        <v>90</v>
      </c>
      <c r="D17">
        <v>0.85452900371971452</v>
      </c>
      <c r="E17">
        <v>0.85</v>
      </c>
      <c r="F17" s="164">
        <v>44895</v>
      </c>
      <c r="G17" t="s">
        <v>258</v>
      </c>
    </row>
    <row r="18" spans="3:7">
      <c r="C18" t="s">
        <v>90</v>
      </c>
      <c r="D18">
        <v>1.1862873228108979</v>
      </c>
      <c r="E18">
        <v>1.19</v>
      </c>
      <c r="F18" s="164">
        <v>44895</v>
      </c>
      <c r="G18" t="s">
        <v>258</v>
      </c>
    </row>
    <row r="19" spans="3:7">
      <c r="C19" t="s">
        <v>90</v>
      </c>
      <c r="D19">
        <v>0.89849828264305531</v>
      </c>
      <c r="E19">
        <v>0.9</v>
      </c>
      <c r="F19" s="164">
        <v>44895</v>
      </c>
      <c r="G19" t="s">
        <v>258</v>
      </c>
    </row>
    <row r="20" spans="3:7">
      <c r="C20" t="s">
        <v>90</v>
      </c>
      <c r="D20">
        <v>0.97516839248014475</v>
      </c>
      <c r="E20">
        <v>0.98</v>
      </c>
      <c r="F20" s="164">
        <v>44895</v>
      </c>
      <c r="G20" t="s">
        <v>258</v>
      </c>
    </row>
    <row r="21" spans="3:7">
      <c r="C21" t="s">
        <v>90</v>
      </c>
      <c r="D21">
        <v>0.83442243892630941</v>
      </c>
      <c r="E21">
        <v>0.83</v>
      </c>
      <c r="F21" s="164">
        <v>44895</v>
      </c>
      <c r="G21" t="s">
        <v>258</v>
      </c>
    </row>
    <row r="22" spans="3:7">
      <c r="C22" t="s">
        <v>90</v>
      </c>
      <c r="D22">
        <v>1.15612747562079</v>
      </c>
      <c r="E22">
        <v>1.1599999999999999</v>
      </c>
      <c r="F22" s="164">
        <v>44895</v>
      </c>
      <c r="G22" t="s">
        <v>258</v>
      </c>
    </row>
    <row r="23" spans="3:7">
      <c r="C23" t="s">
        <v>259</v>
      </c>
      <c r="D23">
        <v>5.2555613212881394E-2</v>
      </c>
      <c r="E23">
        <v>0.05</v>
      </c>
      <c r="F23" s="164">
        <v>44895</v>
      </c>
      <c r="G23" t="s">
        <v>258</v>
      </c>
    </row>
    <row r="24" spans="3:7">
      <c r="C24" t="s">
        <v>259</v>
      </c>
      <c r="D24">
        <v>4.5723383495206812E-2</v>
      </c>
      <c r="E24">
        <v>0.05</v>
      </c>
      <c r="F24" s="164">
        <v>44895</v>
      </c>
      <c r="G24" t="s">
        <v>258</v>
      </c>
    </row>
    <row r="25" spans="3:7">
      <c r="C25" t="s">
        <v>259</v>
      </c>
      <c r="D25">
        <v>6.3592291987586494E-2</v>
      </c>
      <c r="E25">
        <v>0.06</v>
      </c>
      <c r="F25" s="164">
        <v>44895</v>
      </c>
      <c r="G25" t="s">
        <v>258</v>
      </c>
    </row>
    <row r="26" spans="3:7">
      <c r="C26" t="s">
        <v>259</v>
      </c>
      <c r="D26">
        <v>0</v>
      </c>
      <c r="E26">
        <v>0</v>
      </c>
      <c r="F26" s="164">
        <v>44895</v>
      </c>
      <c r="G26" t="s">
        <v>258</v>
      </c>
    </row>
    <row r="27" spans="3:7">
      <c r="C27" t="s">
        <v>259</v>
      </c>
      <c r="D27">
        <v>4.0840831029229786E-2</v>
      </c>
      <c r="E27">
        <v>0.04</v>
      </c>
      <c r="F27" s="164">
        <v>44895</v>
      </c>
      <c r="G27" t="s">
        <v>258</v>
      </c>
    </row>
    <row r="28" spans="3:7">
      <c r="C28" t="s">
        <v>259</v>
      </c>
      <c r="D28">
        <v>5.203005708075259E-2</v>
      </c>
      <c r="E28">
        <v>0.05</v>
      </c>
      <c r="F28" s="164">
        <v>44895</v>
      </c>
      <c r="G28" t="s">
        <v>258</v>
      </c>
    </row>
    <row r="29" spans="3:7">
      <c r="C29" t="s">
        <v>259</v>
      </c>
      <c r="D29">
        <v>4.467227123094919E-2</v>
      </c>
      <c r="E29">
        <v>0.04</v>
      </c>
      <c r="F29" s="164">
        <v>44895</v>
      </c>
      <c r="G29" t="s">
        <v>258</v>
      </c>
    </row>
    <row r="30" spans="3:7">
      <c r="C30" t="s">
        <v>259</v>
      </c>
      <c r="D30">
        <v>6.201562359120006E-2</v>
      </c>
      <c r="E30">
        <v>0.06</v>
      </c>
      <c r="F30" s="164">
        <v>44895</v>
      </c>
      <c r="G30" t="s">
        <v>258</v>
      </c>
    </row>
    <row r="31" spans="3:7">
      <c r="C31" t="s">
        <v>259</v>
      </c>
      <c r="D31">
        <v>4.0840831029229786E-2</v>
      </c>
      <c r="E31">
        <v>0.04</v>
      </c>
      <c r="F31" s="164">
        <v>44895</v>
      </c>
      <c r="G31" t="s">
        <v>258</v>
      </c>
    </row>
    <row r="32" spans="3:7">
      <c r="C32" t="s">
        <v>259</v>
      </c>
      <c r="D32">
        <v>5.097894481649496E-2</v>
      </c>
      <c r="E32">
        <v>0.05</v>
      </c>
      <c r="F32" s="164">
        <v>44895</v>
      </c>
      <c r="G32" t="s">
        <v>258</v>
      </c>
    </row>
    <row r="33" spans="3:7">
      <c r="C33" t="s">
        <v>259</v>
      </c>
      <c r="D33">
        <v>4.362115896669156E-2</v>
      </c>
      <c r="E33">
        <v>0.04</v>
      </c>
      <c r="F33" s="164">
        <v>44895</v>
      </c>
      <c r="G33" t="s">
        <v>258</v>
      </c>
    </row>
    <row r="34" spans="3:7">
      <c r="C34" t="s">
        <v>259</v>
      </c>
      <c r="D34">
        <v>6.0438955194813598E-2</v>
      </c>
      <c r="E34">
        <v>0.06</v>
      </c>
      <c r="F34" s="164">
        <v>44895</v>
      </c>
      <c r="G34" t="s">
        <v>258</v>
      </c>
    </row>
    <row r="35" spans="3:7">
      <c r="C35" t="s">
        <v>260</v>
      </c>
      <c r="D35">
        <v>2.8149190710767068E-2</v>
      </c>
      <c r="E35">
        <v>0.03</v>
      </c>
      <c r="F35" s="164">
        <v>44895</v>
      </c>
      <c r="G35" t="s">
        <v>258</v>
      </c>
    </row>
    <row r="36" spans="3:7">
      <c r="C36" t="s">
        <v>260</v>
      </c>
      <c r="D36">
        <v>2.8149190710767068E-2</v>
      </c>
      <c r="E36">
        <v>0.03</v>
      </c>
      <c r="F36" s="164">
        <v>44895</v>
      </c>
      <c r="G36" t="s">
        <v>258</v>
      </c>
    </row>
    <row r="37" spans="3:7">
      <c r="C37" t="s">
        <v>260</v>
      </c>
      <c r="D37">
        <v>2.8149190710767068E-2</v>
      </c>
      <c r="E37">
        <v>0.03</v>
      </c>
      <c r="F37" s="164">
        <v>44895</v>
      </c>
      <c r="G37" t="s">
        <v>258</v>
      </c>
    </row>
    <row r="38" spans="3:7">
      <c r="C38" t="s">
        <v>260</v>
      </c>
      <c r="D38">
        <v>2.1651716671821839E-2</v>
      </c>
      <c r="E38">
        <v>0.02</v>
      </c>
      <c r="F38" s="164">
        <v>44895</v>
      </c>
      <c r="G38" t="s">
        <v>258</v>
      </c>
    </row>
    <row r="39" spans="3:7">
      <c r="C39" t="s">
        <v>260</v>
      </c>
      <c r="D39">
        <v>2.8149190710767068E-2</v>
      </c>
      <c r="E39">
        <v>0.03</v>
      </c>
      <c r="F39" s="164">
        <v>44895</v>
      </c>
      <c r="G39" t="s">
        <v>258</v>
      </c>
    </row>
    <row r="40" spans="3:7">
      <c r="C40" t="s">
        <v>260</v>
      </c>
      <c r="D40">
        <v>2.8149190710767068E-2</v>
      </c>
      <c r="E40">
        <v>0.03</v>
      </c>
      <c r="F40" s="164">
        <v>44895</v>
      </c>
      <c r="G40" t="s">
        <v>258</v>
      </c>
    </row>
    <row r="41" spans="3:7">
      <c r="C41" t="s">
        <v>260</v>
      </c>
      <c r="D41">
        <v>2.8149190710767068E-2</v>
      </c>
      <c r="E41">
        <v>0.03</v>
      </c>
      <c r="F41" s="164">
        <v>44895</v>
      </c>
      <c r="G41" t="s">
        <v>258</v>
      </c>
    </row>
    <row r="42" spans="3:7">
      <c r="C42" t="s">
        <v>260</v>
      </c>
      <c r="D42">
        <v>2.8149190710767068E-2</v>
      </c>
      <c r="E42">
        <v>0.03</v>
      </c>
      <c r="F42" s="164">
        <v>44895</v>
      </c>
      <c r="G42" t="s">
        <v>258</v>
      </c>
    </row>
    <row r="43" spans="3:7">
      <c r="C43" t="s">
        <v>260</v>
      </c>
      <c r="D43">
        <v>2.8149190710767068E-2</v>
      </c>
      <c r="E43">
        <v>0.03</v>
      </c>
      <c r="F43" s="164">
        <v>44895</v>
      </c>
      <c r="G43" t="s">
        <v>258</v>
      </c>
    </row>
    <row r="44" spans="3:7">
      <c r="C44" t="s">
        <v>260</v>
      </c>
      <c r="D44">
        <v>2.8149190710767068E-2</v>
      </c>
      <c r="E44">
        <v>0.03</v>
      </c>
      <c r="F44" s="164">
        <v>44895</v>
      </c>
      <c r="G44" t="s">
        <v>258</v>
      </c>
    </row>
    <row r="45" spans="3:7">
      <c r="C45" t="s">
        <v>261</v>
      </c>
      <c r="D45">
        <v>-1</v>
      </c>
      <c r="E45">
        <v>-1</v>
      </c>
      <c r="F45" s="164">
        <v>44895</v>
      </c>
      <c r="G45" t="s">
        <v>262</v>
      </c>
    </row>
    <row r="46" spans="3:7">
      <c r="C46" t="s">
        <v>261</v>
      </c>
      <c r="D46">
        <v>-1</v>
      </c>
      <c r="E46">
        <v>-1</v>
      </c>
      <c r="F46" s="164">
        <v>44895</v>
      </c>
      <c r="G46" t="s">
        <v>262</v>
      </c>
    </row>
    <row r="47" spans="3:7">
      <c r="C47" t="s">
        <v>261</v>
      </c>
      <c r="D47">
        <v>-1</v>
      </c>
      <c r="E47">
        <v>-1</v>
      </c>
      <c r="F47" s="164">
        <v>44895</v>
      </c>
      <c r="G47" t="s">
        <v>262</v>
      </c>
    </row>
    <row r="48" spans="3:7">
      <c r="C48" t="s">
        <v>261</v>
      </c>
      <c r="D48">
        <v>-1</v>
      </c>
      <c r="E48">
        <v>-1</v>
      </c>
      <c r="F48" s="164">
        <v>44895</v>
      </c>
      <c r="G48" t="s">
        <v>262</v>
      </c>
    </row>
    <row r="49" spans="3:7">
      <c r="C49" t="s">
        <v>261</v>
      </c>
      <c r="D49">
        <v>-1</v>
      </c>
      <c r="E49">
        <v>-1</v>
      </c>
      <c r="F49" s="164">
        <v>44895</v>
      </c>
      <c r="G49" t="s">
        <v>262</v>
      </c>
    </row>
    <row r="50" spans="3:7">
      <c r="C50" t="s">
        <v>261</v>
      </c>
      <c r="D50">
        <v>-0.99999999999999989</v>
      </c>
      <c r="E50">
        <v>-1</v>
      </c>
      <c r="F50" s="164">
        <v>44895</v>
      </c>
      <c r="G50" t="s">
        <v>262</v>
      </c>
    </row>
    <row r="51" spans="3:7">
      <c r="C51" t="s">
        <v>261</v>
      </c>
      <c r="D51">
        <v>-1</v>
      </c>
      <c r="E51">
        <v>-1</v>
      </c>
      <c r="F51" s="164">
        <v>44895</v>
      </c>
      <c r="G51" t="s">
        <v>262</v>
      </c>
    </row>
    <row r="52" spans="3:7">
      <c r="C52" t="s">
        <v>261</v>
      </c>
      <c r="D52">
        <v>-1</v>
      </c>
      <c r="E52">
        <v>-1</v>
      </c>
      <c r="F52" s="164">
        <v>44895</v>
      </c>
      <c r="G52" t="s">
        <v>262</v>
      </c>
    </row>
    <row r="53" spans="3:7">
      <c r="C53" t="s">
        <v>261</v>
      </c>
      <c r="D53">
        <v>-0.99999999999999989</v>
      </c>
      <c r="E53">
        <v>-1</v>
      </c>
      <c r="F53" s="164">
        <v>44895</v>
      </c>
      <c r="G53" t="s">
        <v>262</v>
      </c>
    </row>
    <row r="54" spans="3:7">
      <c r="C54" t="s">
        <v>263</v>
      </c>
      <c r="D54">
        <v>2</v>
      </c>
      <c r="E54" s="123">
        <v>2</v>
      </c>
      <c r="F54" s="164">
        <v>44895</v>
      </c>
      <c r="G54" t="s">
        <v>264</v>
      </c>
    </row>
    <row r="55" spans="3:7">
      <c r="C55" t="s">
        <v>263</v>
      </c>
      <c r="D55">
        <v>2.3255813953488373</v>
      </c>
      <c r="E55" s="123">
        <v>2.33</v>
      </c>
      <c r="F55" s="164">
        <v>44895</v>
      </c>
      <c r="G55" t="s">
        <v>264</v>
      </c>
    </row>
    <row r="56" spans="3:7">
      <c r="C56" t="s">
        <v>263</v>
      </c>
      <c r="D56">
        <v>2.1739130434782608</v>
      </c>
      <c r="E56" s="123">
        <v>2.17</v>
      </c>
      <c r="F56" s="164">
        <v>44895</v>
      </c>
      <c r="G56" t="s">
        <v>264</v>
      </c>
    </row>
    <row r="57" spans="3:7">
      <c r="C57" t="s">
        <v>263</v>
      </c>
      <c r="D57">
        <v>2</v>
      </c>
      <c r="E57" s="123">
        <v>2</v>
      </c>
      <c r="F57" s="164">
        <v>44895</v>
      </c>
      <c r="G57" t="s">
        <v>264</v>
      </c>
    </row>
    <row r="58" spans="3:7">
      <c r="C58" t="s">
        <v>263</v>
      </c>
      <c r="D58">
        <v>2.3255813953488373</v>
      </c>
      <c r="E58" s="123">
        <v>2.33</v>
      </c>
      <c r="F58" s="164">
        <v>44895</v>
      </c>
      <c r="G58" t="s">
        <v>264</v>
      </c>
    </row>
    <row r="59" spans="3:7">
      <c r="C59" t="s">
        <v>263</v>
      </c>
      <c r="D59">
        <v>2.1052631578947367</v>
      </c>
      <c r="E59" s="123">
        <v>2.11</v>
      </c>
      <c r="F59" s="164">
        <v>44895</v>
      </c>
      <c r="G59" t="s">
        <v>264</v>
      </c>
    </row>
    <row r="60" spans="3:7">
      <c r="C60" t="s">
        <v>263</v>
      </c>
      <c r="D60">
        <v>2</v>
      </c>
      <c r="E60" s="123">
        <v>2</v>
      </c>
      <c r="F60" s="164">
        <v>44895</v>
      </c>
      <c r="G60" t="s">
        <v>264</v>
      </c>
    </row>
    <row r="61" spans="3:7">
      <c r="C61" t="s">
        <v>263</v>
      </c>
      <c r="D61">
        <v>2.3255813953488373</v>
      </c>
      <c r="E61" s="123">
        <v>2.33</v>
      </c>
      <c r="F61" s="164">
        <v>44895</v>
      </c>
      <c r="G61" t="s">
        <v>264</v>
      </c>
    </row>
    <row r="62" spans="3:7">
      <c r="C62" t="s">
        <v>263</v>
      </c>
      <c r="D62">
        <v>2.1052631578947367</v>
      </c>
      <c r="E62" s="123">
        <v>2.11</v>
      </c>
      <c r="F62" s="164">
        <v>44895</v>
      </c>
      <c r="G62" t="s">
        <v>264</v>
      </c>
    </row>
    <row r="63" spans="3:7">
      <c r="C63" t="s">
        <v>265</v>
      </c>
      <c r="D63">
        <v>-0.8</v>
      </c>
      <c r="E63" s="123">
        <v>-0.8</v>
      </c>
      <c r="F63" s="164">
        <v>44895</v>
      </c>
      <c r="G63" t="s">
        <v>264</v>
      </c>
    </row>
    <row r="64" spans="3:7">
      <c r="C64" t="s">
        <v>263</v>
      </c>
      <c r="D64">
        <v>-0.97860000000000003</v>
      </c>
      <c r="E64" s="123">
        <v>-0.98</v>
      </c>
      <c r="F64" s="164">
        <v>44895</v>
      </c>
      <c r="G64" t="s">
        <v>264</v>
      </c>
    </row>
    <row r="65" spans="3:7">
      <c r="C65" t="s">
        <v>263</v>
      </c>
      <c r="D65">
        <v>-0.73780000000000001</v>
      </c>
      <c r="E65" s="123">
        <v>-0.74</v>
      </c>
      <c r="F65" s="164">
        <v>44895</v>
      </c>
      <c r="G65" t="s">
        <v>264</v>
      </c>
    </row>
    <row r="66" spans="3:7">
      <c r="C66" t="s">
        <v>263</v>
      </c>
      <c r="D66">
        <v>-0.8</v>
      </c>
      <c r="E66" s="123">
        <v>-0.8</v>
      </c>
      <c r="F66" s="164">
        <v>44895</v>
      </c>
      <c r="G66" t="s">
        <v>264</v>
      </c>
    </row>
    <row r="67" spans="3:7">
      <c r="C67" t="s">
        <v>263</v>
      </c>
      <c r="D67">
        <v>-0.97860000000000003</v>
      </c>
      <c r="E67" s="123">
        <v>-0.98</v>
      </c>
      <c r="F67" s="164">
        <v>44895</v>
      </c>
      <c r="G67" t="s">
        <v>264</v>
      </c>
    </row>
    <row r="68" spans="3:7">
      <c r="C68" t="s">
        <v>263</v>
      </c>
      <c r="D68">
        <v>-0.68574999999999997</v>
      </c>
      <c r="E68" s="123">
        <v>-0.69</v>
      </c>
      <c r="F68" s="164">
        <v>44895</v>
      </c>
      <c r="G68" t="s">
        <v>264</v>
      </c>
    </row>
    <row r="69" spans="3:7">
      <c r="C69" t="s">
        <v>263</v>
      </c>
      <c r="D69">
        <v>-0.8</v>
      </c>
      <c r="E69" s="123">
        <v>-0.8</v>
      </c>
      <c r="F69" s="164">
        <v>44895</v>
      </c>
      <c r="G69" t="s">
        <v>264</v>
      </c>
    </row>
    <row r="70" spans="3:7">
      <c r="C70" t="s">
        <v>263</v>
      </c>
      <c r="D70">
        <v>-0.97860000000000003</v>
      </c>
      <c r="E70" s="123">
        <v>-0.98</v>
      </c>
      <c r="F70" s="164">
        <v>44895</v>
      </c>
      <c r="G70" t="s">
        <v>264</v>
      </c>
    </row>
    <row r="71" spans="3:7">
      <c r="C71" t="s">
        <v>263</v>
      </c>
      <c r="D71">
        <v>-0.68574999999999997</v>
      </c>
      <c r="E71" s="123">
        <v>-0.69</v>
      </c>
      <c r="F71" s="164">
        <v>44895</v>
      </c>
      <c r="G71" t="s">
        <v>264</v>
      </c>
    </row>
    <row r="72" spans="3:7">
      <c r="C72" t="s">
        <v>266</v>
      </c>
      <c r="D72" t="s">
        <v>267</v>
      </c>
      <c r="E72" t="s">
        <v>268</v>
      </c>
      <c r="F72" s="164">
        <v>44900</v>
      </c>
      <c r="G72" t="s">
        <v>269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3"/>
  <sheetViews>
    <sheetView topLeftCell="A15" zoomScale="68" zoomScaleNormal="68" workbookViewId="0">
      <selection activeCell="E69" sqref="E69:E71"/>
    </sheetView>
  </sheetViews>
  <sheetFormatPr defaultColWidth="11" defaultRowHeight="15"/>
  <cols>
    <col min="1" max="1" width="4.5" style="71" customWidth="1"/>
    <col min="2" max="2" width="11" style="71"/>
    <col min="3" max="3" width="27.625" style="71" customWidth="1"/>
    <col min="4" max="5" width="12.5" style="71" customWidth="1"/>
    <col min="6" max="6" width="18.5" style="71" customWidth="1"/>
    <col min="7" max="21" width="12.5" style="71" customWidth="1"/>
    <col min="22" max="51" width="11" style="71"/>
    <col min="52" max="52" width="101.375" style="105" hidden="1" customWidth="1"/>
    <col min="53" max="53" width="182" style="105" hidden="1" customWidth="1"/>
    <col min="54" max="16384" width="11" style="71"/>
  </cols>
  <sheetData>
    <row r="1" spans="1:52" ht="21">
      <c r="A1" s="3" t="s">
        <v>165</v>
      </c>
      <c r="B1" s="128"/>
      <c r="C1" s="128"/>
      <c r="D1" s="97"/>
      <c r="E1" s="128"/>
      <c r="F1" s="128"/>
      <c r="G1" s="128"/>
      <c r="H1" s="128"/>
      <c r="I1" s="128"/>
      <c r="J1" s="128"/>
      <c r="K1" s="128"/>
      <c r="L1" s="128"/>
      <c r="M1" s="128"/>
      <c r="N1" s="128"/>
      <c r="O1" s="128"/>
      <c r="P1" s="128"/>
      <c r="Q1" s="128"/>
      <c r="R1" s="128"/>
      <c r="S1" s="128"/>
      <c r="T1" s="128"/>
      <c r="U1" s="128"/>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row>
    <row r="2" spans="1:52">
      <c r="A2" s="97" t="s">
        <v>166</v>
      </c>
      <c r="B2" s="128"/>
      <c r="C2" s="128"/>
      <c r="D2" s="97"/>
      <c r="E2" s="128"/>
      <c r="F2" s="128"/>
      <c r="G2" s="128"/>
      <c r="H2" s="128"/>
      <c r="I2" s="128"/>
      <c r="J2" s="128"/>
      <c r="K2" s="128"/>
      <c r="L2" s="128"/>
      <c r="M2" s="128"/>
      <c r="N2" s="128"/>
      <c r="O2" s="128"/>
      <c r="P2" s="128"/>
      <c r="Q2" s="128"/>
      <c r="R2" s="128"/>
      <c r="S2" s="128"/>
      <c r="T2" s="128"/>
      <c r="U2" s="128"/>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row>
    <row r="3" spans="1:52">
      <c r="A3" s="128"/>
      <c r="B3" s="128"/>
      <c r="C3" s="128"/>
      <c r="D3" s="128"/>
      <c r="E3" s="128"/>
      <c r="F3" s="128"/>
      <c r="G3" s="128"/>
      <c r="H3" s="128"/>
      <c r="I3" s="128"/>
      <c r="J3" s="128"/>
      <c r="K3" s="128"/>
      <c r="L3" s="128"/>
      <c r="M3" s="128"/>
      <c r="N3" s="128"/>
      <c r="O3" s="128"/>
      <c r="P3" s="128"/>
      <c r="Q3" s="128"/>
      <c r="R3" s="128"/>
      <c r="S3" s="128"/>
      <c r="T3" s="128"/>
      <c r="U3" s="128"/>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row>
    <row r="4" spans="1:52" ht="21" customHeight="1">
      <c r="A4" s="128"/>
      <c r="B4" s="284" t="s">
        <v>167</v>
      </c>
      <c r="C4" s="285"/>
      <c r="D4" s="285"/>
      <c r="E4" s="285"/>
      <c r="F4" s="285"/>
      <c r="G4" s="285"/>
      <c r="H4" s="285"/>
      <c r="I4" s="285"/>
      <c r="J4" s="285"/>
      <c r="K4" s="286"/>
      <c r="L4" s="73"/>
      <c r="M4" s="73"/>
      <c r="N4" s="73"/>
      <c r="O4" s="73"/>
      <c r="P4" s="128"/>
      <c r="Q4" s="128"/>
      <c r="R4" s="128"/>
      <c r="S4" s="128"/>
      <c r="T4" s="128"/>
      <c r="U4" s="128"/>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row>
    <row r="5" spans="1:52" ht="15.75" customHeight="1">
      <c r="A5" s="128"/>
      <c r="B5" s="418" t="s">
        <v>168</v>
      </c>
      <c r="C5" s="418"/>
      <c r="D5" s="293" t="s">
        <v>169</v>
      </c>
      <c r="E5" s="294"/>
      <c r="F5" s="294"/>
      <c r="G5" s="294"/>
      <c r="H5" s="294"/>
      <c r="I5" s="294"/>
      <c r="J5" s="294"/>
      <c r="K5" s="295"/>
      <c r="L5" s="419"/>
      <c r="M5" s="419"/>
      <c r="N5" s="419"/>
      <c r="O5" s="419"/>
      <c r="P5" s="128"/>
      <c r="Q5" s="128"/>
      <c r="R5" s="128"/>
      <c r="S5" s="128"/>
      <c r="T5" s="128"/>
      <c r="U5" s="128"/>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row>
    <row r="6" spans="1:52" ht="15.75" customHeight="1">
      <c r="A6" s="128"/>
      <c r="B6" s="418" t="s">
        <v>170</v>
      </c>
      <c r="C6" s="418"/>
      <c r="D6" s="420">
        <v>43434</v>
      </c>
      <c r="E6" s="421"/>
      <c r="F6" s="421"/>
      <c r="G6" s="421"/>
      <c r="H6" s="421"/>
      <c r="I6" s="421"/>
      <c r="J6" s="421"/>
      <c r="K6" s="422"/>
      <c r="L6" s="419"/>
      <c r="M6" s="419"/>
      <c r="N6" s="419"/>
      <c r="O6" s="419"/>
      <c r="P6" s="128"/>
      <c r="Q6" s="128"/>
      <c r="R6" s="128"/>
      <c r="S6" s="128"/>
      <c r="T6" s="128"/>
      <c r="U6" s="128"/>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row>
    <row r="7" spans="1:52">
      <c r="A7" s="128"/>
      <c r="B7" s="296" t="s">
        <v>13</v>
      </c>
      <c r="C7" s="297"/>
      <c r="D7" s="423" t="s">
        <v>171</v>
      </c>
      <c r="E7" s="424"/>
      <c r="F7" s="424"/>
      <c r="G7" s="424"/>
      <c r="H7" s="424"/>
      <c r="I7" s="424"/>
      <c r="J7" s="424"/>
      <c r="K7" s="425"/>
      <c r="L7" s="426"/>
      <c r="M7" s="426"/>
      <c r="N7" s="426"/>
      <c r="O7" s="426"/>
      <c r="P7" s="128"/>
      <c r="Q7" s="128"/>
      <c r="R7" s="128"/>
      <c r="S7" s="128"/>
      <c r="T7" s="128"/>
      <c r="U7" s="128"/>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row>
    <row r="8" spans="1:52" ht="15.75" customHeight="1">
      <c r="A8" s="128"/>
      <c r="B8" s="298"/>
      <c r="C8" s="299"/>
      <c r="D8" s="423" t="s">
        <v>172</v>
      </c>
      <c r="E8" s="424"/>
      <c r="F8" s="424"/>
      <c r="G8" s="424"/>
      <c r="H8" s="424"/>
      <c r="I8" s="424"/>
      <c r="J8" s="424"/>
      <c r="K8" s="425"/>
      <c r="L8" s="426"/>
      <c r="M8" s="426"/>
      <c r="N8" s="426"/>
      <c r="O8" s="147" t="s">
        <v>173</v>
      </c>
      <c r="P8" s="128"/>
      <c r="Q8" s="128"/>
      <c r="R8" s="128"/>
      <c r="S8" s="128"/>
      <c r="T8" s="128"/>
      <c r="U8" s="128"/>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row>
    <row r="9" spans="1:52" ht="15.75" customHeight="1">
      <c r="A9" s="128"/>
      <c r="B9" s="289" t="s">
        <v>17</v>
      </c>
      <c r="C9" s="289"/>
      <c r="D9" s="290" t="s">
        <v>174</v>
      </c>
      <c r="E9" s="291"/>
      <c r="F9" s="291"/>
      <c r="G9" s="291"/>
      <c r="H9" s="291"/>
      <c r="I9" s="291"/>
      <c r="J9" s="291"/>
      <c r="K9" s="292"/>
      <c r="L9" s="72"/>
      <c r="M9" s="72"/>
      <c r="N9" s="72"/>
      <c r="O9" s="72"/>
      <c r="P9" s="128"/>
      <c r="Q9" s="128"/>
      <c r="R9" s="128"/>
      <c r="S9" s="128"/>
      <c r="T9" s="128"/>
      <c r="U9" s="128"/>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row>
    <row r="10" spans="1:52" ht="15.75" customHeight="1">
      <c r="A10" s="128"/>
      <c r="B10" s="289" t="s">
        <v>19</v>
      </c>
      <c r="C10" s="289"/>
      <c r="D10" s="290" t="s">
        <v>175</v>
      </c>
      <c r="E10" s="291"/>
      <c r="F10" s="291"/>
      <c r="G10" s="291"/>
      <c r="H10" s="291"/>
      <c r="I10" s="291"/>
      <c r="J10" s="291"/>
      <c r="K10" s="292"/>
      <c r="L10" s="419"/>
      <c r="M10" s="419"/>
      <c r="N10" s="419"/>
      <c r="O10" s="419"/>
      <c r="P10" s="128"/>
      <c r="Q10" s="128"/>
      <c r="R10" s="128"/>
      <c r="S10" s="128"/>
      <c r="T10" s="128"/>
      <c r="U10" s="128"/>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row>
    <row r="11" spans="1:52" ht="357.75" customHeight="1">
      <c r="A11" s="128"/>
      <c r="B11" s="427" t="s">
        <v>22</v>
      </c>
      <c r="C11" s="427"/>
      <c r="D11" s="428" t="s">
        <v>176</v>
      </c>
      <c r="E11" s="429"/>
      <c r="F11" s="429"/>
      <c r="G11" s="429"/>
      <c r="H11" s="429"/>
      <c r="I11" s="429"/>
      <c r="J11" s="429"/>
      <c r="K11" s="430"/>
      <c r="L11"/>
      <c r="M11" s="146"/>
      <c r="N11" s="145"/>
      <c r="O11" s="426"/>
      <c r="P11" s="128"/>
      <c r="Q11" s="128"/>
      <c r="R11" s="128"/>
      <c r="S11" s="128"/>
      <c r="T11" s="128"/>
      <c r="U11" s="128"/>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06" t="str">
        <f>D11</f>
        <v xml:space="preserve">Working of the Technology:
A 'modern' natural gas-fired power plant can be a combined heat and power plant (CHP). In case of a combined cycle gas turbine/CCGT (Dutch: Stoom en Gasturbine/STEG) there is a gas turbine and steam turbine. In the first turbine, gas is expanded to drive the turbine. The second turbine, a steam turbine, is being driven by the residual heat of the gas turbine. Water is evaporated using heat from the waste heat recovery unit steam generator (heat exchanger) to produce high pressure steam which is expanded in a steam turbine to generate electricity using a generator. From the drain of a steam turbine, heat can be fed into a heat distribution network. Heat can be supplied to different sectors such as the built environment or industry. This factsheet focuses on a CHP plant that delivers heat to the built environment. A CHP plant without carbon capture and storage (CCS) is considered in this factsheet.
Main components:
Components of a gas-fired power plant for the production of electricity and district heating typically are an (inlet) air compressor,  gas turbine and generator, heat recovery boiler, economiser/heat exchanger (i.e. feedwater heaters; commonly used as part of a heat recovery steam generator in a combined cycle power plant), steam turbine(s) and generator, condensor, cooling technique, and flue gas cleaning equipment.
Energy production related aspects:
The downside of utilizing heat for district heating is that the electrical efficiency of the CHP plant is lowered (loss of electricity production) (ECN, 2011). Loss of electricity production (GJe/GJth supplied) depends on the temperature of heat disconnection. Figures about losses are included in this factsheet. 
Besides CO2 emissions, a STEG also emits NOx (Ecofys, 2014). A power plant is equipped with flue gas cleaners to limit NOx emissions. The flue gas cleaner is included in the costs presented in this factsheet.
</v>
      </c>
    </row>
    <row r="12" spans="1:52" ht="15.75" customHeight="1">
      <c r="A12" s="128"/>
      <c r="B12" s="431" t="s">
        <v>177</v>
      </c>
      <c r="C12" s="431"/>
      <c r="D12" s="432" t="s">
        <v>29</v>
      </c>
      <c r="E12" s="421"/>
      <c r="F12" s="421"/>
      <c r="G12" s="421"/>
      <c r="H12" s="421"/>
      <c r="I12" s="421"/>
      <c r="J12" s="421"/>
      <c r="K12" s="422"/>
      <c r="L12"/>
      <c r="M12" s="419"/>
      <c r="N12" s="419"/>
      <c r="O12" s="419"/>
      <c r="P12" s="128"/>
      <c r="Q12" s="128"/>
      <c r="R12" s="128"/>
      <c r="S12" s="128"/>
      <c r="T12" s="128"/>
      <c r="U12" s="128"/>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row>
    <row r="13" spans="1:52" ht="54" customHeight="1">
      <c r="A13" s="128"/>
      <c r="B13" s="431"/>
      <c r="C13" s="431"/>
      <c r="D13" s="300" t="s">
        <v>178</v>
      </c>
      <c r="E13" s="301"/>
      <c r="F13" s="301"/>
      <c r="G13" s="301"/>
      <c r="H13" s="301"/>
      <c r="I13" s="301"/>
      <c r="J13" s="301"/>
      <c r="K13" s="302"/>
      <c r="L13" s="426"/>
      <c r="M13" s="426"/>
      <c r="N13" s="426"/>
      <c r="O13" s="426"/>
      <c r="P13" s="128"/>
      <c r="Q13" s="128"/>
      <c r="R13" s="128"/>
      <c r="S13" s="128"/>
      <c r="T13" s="128"/>
      <c r="U13" s="128"/>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06" t="str">
        <f>D13</f>
        <v>The technology is already being applied on a large-scale and can therefore be considered to be mature. A substantial amount of the installed capacity in the electricity sector in the Netherlands consists of gas-fired CHP (ECN, 2017b). Gas-fired CHP is one of the main heat sources for district heating in the Netherlands in 2015 (ECN, 2017a).</v>
      </c>
    </row>
    <row r="14" spans="1:52" ht="21" customHeight="1">
      <c r="A14" s="128"/>
      <c r="B14" s="284" t="s">
        <v>47</v>
      </c>
      <c r="C14" s="285"/>
      <c r="D14" s="285"/>
      <c r="E14" s="285"/>
      <c r="F14" s="285"/>
      <c r="G14" s="285"/>
      <c r="H14" s="285"/>
      <c r="I14" s="285"/>
      <c r="J14" s="285"/>
      <c r="K14" s="286"/>
      <c r="L14" s="73"/>
      <c r="M14" s="73"/>
      <c r="N14" s="73"/>
      <c r="O14" s="73"/>
      <c r="P14" s="128"/>
      <c r="Q14" s="128"/>
      <c r="R14" s="128"/>
      <c r="S14" s="128"/>
      <c r="T14" s="128"/>
      <c r="U14" s="128"/>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row>
    <row r="15" spans="1:52" ht="15" customHeight="1">
      <c r="A15" s="128"/>
      <c r="B15" s="247" t="s">
        <v>48</v>
      </c>
      <c r="C15" s="247"/>
      <c r="D15" s="256" t="s">
        <v>268</v>
      </c>
      <c r="E15" s="287"/>
      <c r="F15" s="287"/>
      <c r="G15" s="287"/>
      <c r="H15" s="287"/>
      <c r="I15" s="287"/>
      <c r="J15" s="287"/>
      <c r="K15" s="257"/>
      <c r="L15" s="73"/>
      <c r="M15" s="73"/>
      <c r="N15" s="73"/>
      <c r="O15" s="73"/>
      <c r="P15" s="128"/>
      <c r="Q15" s="128"/>
      <c r="R15" s="128"/>
      <c r="S15" s="128"/>
      <c r="T15" s="128"/>
      <c r="U15" s="128"/>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row>
    <row r="16" spans="1:52" ht="15" customHeight="1">
      <c r="A16" s="128"/>
      <c r="B16" s="247"/>
      <c r="C16" s="247"/>
      <c r="D16" s="258"/>
      <c r="E16" s="288"/>
      <c r="F16" s="288"/>
      <c r="G16" s="288"/>
      <c r="H16" s="288"/>
      <c r="I16" s="288"/>
      <c r="J16" s="288"/>
      <c r="K16" s="259"/>
      <c r="L16" s="73"/>
      <c r="M16" s="73"/>
      <c r="N16" s="73"/>
      <c r="O16" s="73"/>
      <c r="P16" s="128"/>
      <c r="Q16" s="128"/>
      <c r="R16" s="128"/>
      <c r="S16" s="128"/>
      <c r="T16" s="128"/>
      <c r="U16" s="128"/>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row>
    <row r="17" spans="1:21">
      <c r="A17" s="128"/>
      <c r="B17" s="280"/>
      <c r="C17" s="280"/>
      <c r="D17" s="281" t="s">
        <v>180</v>
      </c>
      <c r="E17" s="281"/>
      <c r="F17" s="281"/>
      <c r="G17" s="158" t="s">
        <v>181</v>
      </c>
      <c r="H17" s="158" t="s">
        <v>182</v>
      </c>
      <c r="I17" s="158" t="s">
        <v>183</v>
      </c>
      <c r="J17" s="158" t="s">
        <v>184</v>
      </c>
      <c r="K17" s="158" t="s">
        <v>185</v>
      </c>
      <c r="L17" s="74"/>
      <c r="M17" s="74"/>
      <c r="N17" s="74"/>
      <c r="O17" s="74"/>
      <c r="P17" s="128"/>
      <c r="Q17" s="128"/>
      <c r="R17" s="128"/>
      <c r="S17" s="128"/>
      <c r="T17" s="128"/>
      <c r="U17" s="128"/>
    </row>
    <row r="18" spans="1:21" ht="15.75" customHeight="1">
      <c r="A18" s="128"/>
      <c r="B18" s="247" t="s">
        <v>52</v>
      </c>
      <c r="C18" s="247"/>
      <c r="D18" s="203" t="str">
        <f>IF(D15="Please select","Select Functional Unit above",D15)</f>
        <v>MW</v>
      </c>
      <c r="E18" s="203"/>
      <c r="F18" s="203"/>
      <c r="G18" s="120">
        <v>500</v>
      </c>
      <c r="H18" s="122">
        <v>200</v>
      </c>
      <c r="I18" s="122">
        <v>900</v>
      </c>
      <c r="J18" s="122"/>
      <c r="K18" s="90"/>
      <c r="L18" s="75"/>
      <c r="M18" s="75"/>
      <c r="N18" s="75"/>
      <c r="O18" s="75"/>
      <c r="P18" s="128"/>
      <c r="Q18" s="128"/>
      <c r="R18" s="128"/>
      <c r="S18" s="128"/>
      <c r="T18" s="128"/>
      <c r="U18" s="128"/>
    </row>
    <row r="19" spans="1:21" ht="15.75" customHeight="1">
      <c r="A19" s="128"/>
      <c r="B19" s="247"/>
      <c r="C19" s="247"/>
      <c r="D19" s="203"/>
      <c r="E19" s="203"/>
      <c r="F19" s="203"/>
      <c r="G19" s="101" t="s">
        <v>186</v>
      </c>
      <c r="H19" s="101" t="s">
        <v>187</v>
      </c>
      <c r="I19" s="101" t="s">
        <v>186</v>
      </c>
      <c r="J19" s="101" t="s">
        <v>188</v>
      </c>
      <c r="K19" s="101" t="s">
        <v>188</v>
      </c>
      <c r="L19" s="75"/>
      <c r="M19" s="75"/>
      <c r="N19" s="75"/>
      <c r="O19" s="75"/>
      <c r="P19" s="128"/>
      <c r="Q19" s="128"/>
      <c r="R19" s="128"/>
      <c r="S19" s="128"/>
      <c r="T19" s="128"/>
      <c r="U19" s="128"/>
    </row>
    <row r="20" spans="1:21" ht="15.75" customHeight="1">
      <c r="A20" s="128"/>
      <c r="B20" s="280"/>
      <c r="C20" s="280"/>
      <c r="D20" s="282" t="s">
        <v>180</v>
      </c>
      <c r="E20" s="283"/>
      <c r="F20" s="160" t="s">
        <v>189</v>
      </c>
      <c r="G20" s="217" t="s">
        <v>190</v>
      </c>
      <c r="H20" s="217"/>
      <c r="I20" s="217"/>
      <c r="J20" s="217"/>
      <c r="K20" s="217"/>
      <c r="L20" s="218">
        <v>2030</v>
      </c>
      <c r="M20" s="218"/>
      <c r="N20" s="218"/>
      <c r="O20" s="218"/>
      <c r="P20" s="218"/>
      <c r="Q20" s="217">
        <v>2050</v>
      </c>
      <c r="R20" s="217"/>
      <c r="S20" s="217"/>
      <c r="T20" s="217"/>
      <c r="U20" s="217"/>
    </row>
    <row r="21" spans="1:21" ht="15.75" customHeight="1">
      <c r="A21" s="128"/>
      <c r="B21" s="265" t="s">
        <v>57</v>
      </c>
      <c r="C21" s="266"/>
      <c r="D21" s="271" t="str">
        <f>IF(D15="Please select","Select Functional Unit above",D15)</f>
        <v>MW</v>
      </c>
      <c r="E21" s="272"/>
      <c r="F21" s="277" t="s">
        <v>191</v>
      </c>
      <c r="G21" s="158" t="s">
        <v>181</v>
      </c>
      <c r="H21" s="158" t="s">
        <v>182</v>
      </c>
      <c r="I21" s="158" t="s">
        <v>183</v>
      </c>
      <c r="J21" s="158" t="s">
        <v>184</v>
      </c>
      <c r="K21" s="158" t="s">
        <v>185</v>
      </c>
      <c r="L21" s="159" t="s">
        <v>181</v>
      </c>
      <c r="M21" s="159" t="s">
        <v>182</v>
      </c>
      <c r="N21" s="159" t="s">
        <v>183</v>
      </c>
      <c r="O21" s="159" t="s">
        <v>184</v>
      </c>
      <c r="P21" s="159" t="s">
        <v>185</v>
      </c>
      <c r="Q21" s="158" t="s">
        <v>181</v>
      </c>
      <c r="R21" s="158" t="s">
        <v>182</v>
      </c>
      <c r="S21" s="158" t="s">
        <v>183</v>
      </c>
      <c r="T21" s="158" t="s">
        <v>184</v>
      </c>
      <c r="U21" s="158" t="s">
        <v>185</v>
      </c>
    </row>
    <row r="22" spans="1:21" ht="15" customHeight="1">
      <c r="A22" s="128"/>
      <c r="B22" s="267"/>
      <c r="C22" s="268"/>
      <c r="D22" s="273"/>
      <c r="E22" s="274"/>
      <c r="F22" s="278"/>
      <c r="G22" s="121"/>
      <c r="H22" s="90"/>
      <c r="I22" s="90"/>
      <c r="J22" s="90"/>
      <c r="K22" s="90"/>
      <c r="L22" s="121"/>
      <c r="M22" s="100"/>
      <c r="N22" s="100"/>
      <c r="O22" s="100"/>
      <c r="P22" s="100"/>
      <c r="Q22" s="121"/>
      <c r="R22" s="100"/>
      <c r="S22" s="100"/>
      <c r="T22" s="100"/>
      <c r="U22" s="100"/>
    </row>
    <row r="23" spans="1:21">
      <c r="A23" s="128"/>
      <c r="B23" s="269"/>
      <c r="C23" s="270"/>
      <c r="D23" s="275"/>
      <c r="E23" s="276"/>
      <c r="F23" s="279"/>
      <c r="G23" s="101" t="s">
        <v>188</v>
      </c>
      <c r="H23" s="101" t="s">
        <v>188</v>
      </c>
      <c r="I23" s="101" t="s">
        <v>188</v>
      </c>
      <c r="J23" s="101" t="s">
        <v>188</v>
      </c>
      <c r="K23" s="101" t="s">
        <v>188</v>
      </c>
      <c r="L23" s="101" t="s">
        <v>188</v>
      </c>
      <c r="M23" s="101" t="s">
        <v>188</v>
      </c>
      <c r="N23" s="101" t="s">
        <v>188</v>
      </c>
      <c r="O23" s="101" t="s">
        <v>188</v>
      </c>
      <c r="P23" s="101" t="s">
        <v>188</v>
      </c>
      <c r="Q23" s="101" t="s">
        <v>188</v>
      </c>
      <c r="R23" s="101" t="s">
        <v>188</v>
      </c>
      <c r="S23" s="101" t="s">
        <v>188</v>
      </c>
      <c r="T23" s="101" t="s">
        <v>188</v>
      </c>
      <c r="U23" s="101" t="s">
        <v>188</v>
      </c>
    </row>
    <row r="24" spans="1:21" ht="15.75" customHeight="1">
      <c r="A24" s="128"/>
      <c r="B24" s="247" t="s">
        <v>192</v>
      </c>
      <c r="C24" s="247"/>
      <c r="D24" s="256" t="s">
        <v>193</v>
      </c>
      <c r="E24" s="257"/>
      <c r="F24" s="260" t="s">
        <v>194</v>
      </c>
      <c r="G24" s="163">
        <v>2</v>
      </c>
      <c r="H24" s="140"/>
      <c r="I24" s="90"/>
      <c r="J24" s="90"/>
      <c r="K24" s="90"/>
      <c r="L24" s="89"/>
      <c r="M24" s="100"/>
      <c r="N24" s="100"/>
      <c r="O24" s="100"/>
      <c r="P24" s="100"/>
      <c r="Q24" s="89"/>
      <c r="R24" s="100"/>
      <c r="S24" s="100"/>
      <c r="T24" s="100"/>
      <c r="U24" s="100"/>
    </row>
    <row r="25" spans="1:21" ht="34.5" customHeight="1">
      <c r="A25" s="128"/>
      <c r="B25" s="247"/>
      <c r="C25" s="247"/>
      <c r="D25" s="258"/>
      <c r="E25" s="259"/>
      <c r="F25" s="261"/>
      <c r="G25" s="101" t="s">
        <v>195</v>
      </c>
      <c r="H25" s="101" t="s">
        <v>188</v>
      </c>
      <c r="I25" s="101" t="s">
        <v>188</v>
      </c>
      <c r="J25" s="101" t="s">
        <v>188</v>
      </c>
      <c r="K25" s="101" t="s">
        <v>188</v>
      </c>
      <c r="L25" s="101" t="s">
        <v>188</v>
      </c>
      <c r="M25" s="101" t="s">
        <v>188</v>
      </c>
      <c r="N25" s="101" t="s">
        <v>188</v>
      </c>
      <c r="O25" s="101" t="s">
        <v>188</v>
      </c>
      <c r="P25" s="101" t="s">
        <v>188</v>
      </c>
      <c r="Q25" s="101" t="s">
        <v>188</v>
      </c>
      <c r="R25" s="101" t="s">
        <v>188</v>
      </c>
      <c r="S25" s="101" t="s">
        <v>188</v>
      </c>
      <c r="T25" s="101" t="s">
        <v>188</v>
      </c>
      <c r="U25" s="101" t="s">
        <v>188</v>
      </c>
    </row>
    <row r="26" spans="1:21">
      <c r="A26" s="128"/>
      <c r="B26" s="240" t="s">
        <v>66</v>
      </c>
      <c r="C26" s="240"/>
      <c r="D26" s="262">
        <v>0.8</v>
      </c>
      <c r="E26" s="303"/>
      <c r="F26" s="303"/>
      <c r="G26" s="303"/>
      <c r="H26" s="303"/>
      <c r="I26" s="303"/>
      <c r="J26" s="303"/>
      <c r="K26" s="304"/>
      <c r="L26" s="77"/>
      <c r="M26" s="77"/>
      <c r="N26" s="77"/>
      <c r="O26" s="77"/>
      <c r="P26" s="128"/>
      <c r="Q26" s="128"/>
      <c r="R26" s="128"/>
      <c r="S26" s="128"/>
      <c r="T26" s="128"/>
      <c r="U26" s="128"/>
    </row>
    <row r="27" spans="1:21">
      <c r="A27" s="128"/>
      <c r="B27" s="240" t="s">
        <v>69</v>
      </c>
      <c r="C27" s="240"/>
      <c r="D27" s="253">
        <v>7000</v>
      </c>
      <c r="E27" s="254"/>
      <c r="F27" s="254"/>
      <c r="G27" s="254"/>
      <c r="H27" s="254"/>
      <c r="I27" s="254"/>
      <c r="J27" s="254"/>
      <c r="K27" s="255"/>
      <c r="L27" s="77"/>
      <c r="M27" s="77"/>
      <c r="N27" s="77"/>
      <c r="O27" s="77"/>
      <c r="P27" s="128"/>
      <c r="Q27" s="128"/>
      <c r="R27" s="128"/>
      <c r="S27" s="128"/>
      <c r="T27" s="128"/>
      <c r="U27" s="128"/>
    </row>
    <row r="28" spans="1:21" ht="15" customHeight="1">
      <c r="A28" s="128"/>
      <c r="B28" s="240" t="s">
        <v>71</v>
      </c>
      <c r="C28" s="240"/>
      <c r="D28" s="244" t="s">
        <v>196</v>
      </c>
      <c r="E28" s="245"/>
      <c r="F28" s="245"/>
      <c r="G28" s="245"/>
      <c r="H28" s="245"/>
      <c r="I28" s="245"/>
      <c r="J28" s="245"/>
      <c r="K28" s="246"/>
      <c r="L28" s="77"/>
      <c r="M28" s="77"/>
      <c r="N28" s="77"/>
      <c r="O28" s="77"/>
      <c r="P28" s="128"/>
      <c r="Q28" s="128"/>
      <c r="R28" s="128"/>
      <c r="S28" s="128"/>
      <c r="T28" s="128"/>
      <c r="U28" s="128"/>
    </row>
    <row r="29" spans="1:21" ht="15.75" customHeight="1">
      <c r="A29" s="128"/>
      <c r="B29" s="240" t="s">
        <v>74</v>
      </c>
      <c r="C29" s="240"/>
      <c r="D29" s="250">
        <f>G18*D27*3.6/10^6</f>
        <v>12.6</v>
      </c>
      <c r="E29" s="251"/>
      <c r="F29" s="251"/>
      <c r="G29" s="251"/>
      <c r="H29" s="251"/>
      <c r="I29" s="251"/>
      <c r="J29" s="251"/>
      <c r="K29" s="252"/>
      <c r="L29" s="76"/>
      <c r="M29" s="129"/>
      <c r="N29" s="76"/>
      <c r="O29" s="76"/>
      <c r="P29" s="128"/>
      <c r="Q29" s="128"/>
      <c r="R29" s="128"/>
      <c r="S29" s="128"/>
      <c r="T29" s="128"/>
      <c r="U29" s="128"/>
    </row>
    <row r="30" spans="1:21">
      <c r="A30" s="128"/>
      <c r="B30" s="240" t="s">
        <v>79</v>
      </c>
      <c r="C30" s="240"/>
      <c r="D30" s="253">
        <v>30</v>
      </c>
      <c r="E30" s="254"/>
      <c r="F30" s="254"/>
      <c r="G30" s="254"/>
      <c r="H30" s="254"/>
      <c r="I30" s="254"/>
      <c r="J30" s="254"/>
      <c r="K30" s="255"/>
      <c r="L30" s="77"/>
      <c r="M30" s="77"/>
      <c r="N30" s="77"/>
      <c r="O30" s="77"/>
      <c r="P30" s="128"/>
      <c r="Q30" s="128"/>
      <c r="R30" s="128"/>
      <c r="S30" s="128"/>
      <c r="T30" s="128"/>
      <c r="U30" s="128"/>
    </row>
    <row r="31" spans="1:21">
      <c r="A31" s="128"/>
      <c r="B31" s="240" t="s">
        <v>81</v>
      </c>
      <c r="C31" s="240"/>
      <c r="D31" s="241"/>
      <c r="E31" s="242"/>
      <c r="F31" s="242"/>
      <c r="G31" s="242"/>
      <c r="H31" s="242"/>
      <c r="I31" s="242"/>
      <c r="J31" s="242"/>
      <c r="K31" s="243"/>
      <c r="L31" s="77"/>
      <c r="M31" s="77"/>
      <c r="N31" s="77"/>
      <c r="O31" s="77"/>
      <c r="P31" s="128"/>
      <c r="Q31" s="128"/>
      <c r="R31" s="128"/>
      <c r="S31" s="128"/>
      <c r="T31" s="128"/>
      <c r="U31" s="128"/>
    </row>
    <row r="32" spans="1:21">
      <c r="A32" s="128"/>
      <c r="B32" s="240" t="s">
        <v>83</v>
      </c>
      <c r="C32" s="240"/>
      <c r="D32" s="244" t="s">
        <v>197</v>
      </c>
      <c r="E32" s="245"/>
      <c r="F32" s="245"/>
      <c r="G32" s="245"/>
      <c r="H32" s="245"/>
      <c r="I32" s="245"/>
      <c r="J32" s="245"/>
      <c r="K32" s="246"/>
      <c r="L32" s="77"/>
      <c r="M32" s="77"/>
      <c r="N32" s="77"/>
      <c r="O32" s="77"/>
      <c r="P32" s="128"/>
      <c r="Q32" s="128"/>
      <c r="R32" s="128"/>
      <c r="S32" s="128"/>
      <c r="T32" s="128"/>
      <c r="U32" s="128"/>
    </row>
    <row r="33" spans="1:53" ht="409.6" customHeight="1">
      <c r="A33" s="128"/>
      <c r="B33" s="247" t="s">
        <v>198</v>
      </c>
      <c r="C33" s="247"/>
      <c r="D33" s="219" t="s">
        <v>199</v>
      </c>
      <c r="E33" s="248"/>
      <c r="F33" s="248"/>
      <c r="G33" s="248"/>
      <c r="H33" s="248"/>
      <c r="I33" s="248"/>
      <c r="J33" s="248"/>
      <c r="K33" s="249"/>
      <c r="L33" s="426"/>
      <c r="M33" s="76"/>
      <c r="N33" s="426"/>
      <c r="O33" s="426"/>
      <c r="P33" s="128"/>
      <c r="Q33" s="128"/>
      <c r="R33" s="128"/>
      <c r="S33" s="128"/>
      <c r="T33" s="128"/>
      <c r="U33" s="128"/>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06" t="str">
        <f>D33</f>
        <v xml:space="preserve">Typical Electric and Heat Capacity Of Gas-fired Power Plants
The electrical capacity of most STEG plants in different OECD countries ranges between 280 and 900MWe (IEA, 2015). In the Netherlands the electrical capacity of STEG plants ranges between 200 and 900MWe (Ecofys, 2014). Here, 500 MWe is taken as an average.
Full load hours per year for electricity production are case-dependent. It depends strongly on the position of these plants within the electricity market (ECN, 2017b). The increasing share of intermittent renewable electricity generation may decrease full load hours, because  plants do not have to operate when there is sufficient production from renewable sources (ECN, 2019). Gas-fired CHP could then provide back-up capacity. From a general historical perspective, a gas-fired CHP plant used for district heating typically runs as base load plant for electricity production; 6.000 to 8.000 full load hours per year (ECN, 2010; Gasterra, 2008). In case of 7.000 full loads hours this translates to a capacity utilitization factor of 80%. Indeed, IEA (2010) indicates 75 to 85% as capacity utilization factor for a CCGT CHP (IEA ETSAP, 2010). A CHP plant with a capacity of 500 MWe and 7.000 full load hours produces 12,6 PJe per year. Full load hours for heat delivery are not the same. Indeed, heat demand peaks in winter and in other seasons there is a (much) lower heat demand. Heat is available when the plant produces electricity, but due to limited overlap with the heat demand only 30 to 45% of the available heat can be supplied per year (ECN, 2011). 
For example, consider a large scale district heating network that supplies about 1 PJth per year, as average for the Netherlands (ECN, 2017a). About 25% heat losses can be assumed in a heat network (ECN, 2017a). This means the heat source needs to produce about 1,3 PJth per year. Assuming 4.500 full load hours (Energy Matters, 2012), the needed thermal output capacity for district heating is 82MWth.
A minimum heat disconnection capacity for district heating is 10MWth (Ecofys, 2014).
Heat Supply by Gas-fired Power Plants In The Netherlands
About 4% of the final heat demand in the built environment (463 PJ in 2015 based on ECN, 2017a) in the Netherlands is supplied with district heating in 2015 (ECN, 2017a). In 2015, 67% of final heat demand of large scale heat networks (18 PJ) is supplied by (natural gas and coal fired) CHP plants, this figure is also including small gas-fired CHP units (ECN, 2017a). Excluding heat supplied by coal-fired CHP (2,7 PJ in 2015 based on ECN, 2017a), this results in a share of about 2% for gas-fired CHP plants in the final heat demand of the built environment. This share is expected to decrease as the share of sustainable heat goes up.
Technical Lifetime Gas-fired Power Plants
ETRI indicates a technical lifetime of 30 years for a CCGT CHP (ETRI, 2014). ECN indicates a technical lifetime of 30 years for a gas-fired CHP (ECN, 2011). IEA (2010) indicates a technical lifetime of 25 years for a CCGT CHP (IEA ETSAP, 2010).
</v>
      </c>
    </row>
    <row r="34" spans="1:53" ht="21" customHeight="1">
      <c r="A34" s="128"/>
      <c r="B34" s="223" t="s">
        <v>200</v>
      </c>
      <c r="C34" s="223"/>
      <c r="D34" s="223"/>
      <c r="E34" s="223"/>
      <c r="F34" s="223"/>
      <c r="G34" s="223"/>
      <c r="H34" s="223"/>
      <c r="I34" s="223"/>
      <c r="J34" s="223"/>
      <c r="K34" s="223"/>
      <c r="L34" s="223"/>
      <c r="M34" s="223"/>
      <c r="N34" s="223"/>
      <c r="O34" s="223"/>
      <c r="P34" s="223"/>
      <c r="Q34" s="223"/>
      <c r="R34" s="223"/>
      <c r="S34" s="223"/>
      <c r="T34" s="223"/>
      <c r="U34" s="223"/>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row>
    <row r="35" spans="1:53" ht="15.75" customHeight="1">
      <c r="A35" s="128"/>
      <c r="B35" s="238" t="s">
        <v>201</v>
      </c>
      <c r="C35" s="238"/>
      <c r="D35" s="238"/>
      <c r="E35" s="238"/>
      <c r="F35" s="238"/>
      <c r="G35" s="217" t="s">
        <v>190</v>
      </c>
      <c r="H35" s="217"/>
      <c r="I35" s="217"/>
      <c r="J35" s="217"/>
      <c r="K35" s="217"/>
      <c r="L35" s="218">
        <v>2030</v>
      </c>
      <c r="M35" s="218"/>
      <c r="N35" s="218"/>
      <c r="O35" s="218"/>
      <c r="P35" s="218"/>
      <c r="Q35" s="217">
        <v>2050</v>
      </c>
      <c r="R35" s="217"/>
      <c r="S35" s="217"/>
      <c r="T35" s="217"/>
      <c r="U35" s="217"/>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row>
    <row r="36" spans="1:53" ht="15.75" customHeight="1">
      <c r="A36" s="128"/>
      <c r="B36" s="238"/>
      <c r="C36" s="238"/>
      <c r="D36" s="239"/>
      <c r="E36" s="239"/>
      <c r="F36" s="239"/>
      <c r="G36" s="158" t="s">
        <v>181</v>
      </c>
      <c r="H36" s="158" t="s">
        <v>182</v>
      </c>
      <c r="I36" s="158" t="s">
        <v>183</v>
      </c>
      <c r="J36" s="158" t="s">
        <v>184</v>
      </c>
      <c r="K36" s="158" t="s">
        <v>185</v>
      </c>
      <c r="L36" s="159" t="s">
        <v>181</v>
      </c>
      <c r="M36" s="159" t="s">
        <v>182</v>
      </c>
      <c r="N36" s="159" t="s">
        <v>183</v>
      </c>
      <c r="O36" s="159" t="s">
        <v>184</v>
      </c>
      <c r="P36" s="159" t="s">
        <v>185</v>
      </c>
      <c r="Q36" s="158" t="s">
        <v>181</v>
      </c>
      <c r="R36" s="158" t="s">
        <v>182</v>
      </c>
      <c r="S36" s="158" t="s">
        <v>183</v>
      </c>
      <c r="T36" s="158" t="s">
        <v>184</v>
      </c>
      <c r="U36" s="158" t="s">
        <v>185</v>
      </c>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row>
    <row r="37" spans="1:53" ht="15.75" customHeight="1">
      <c r="A37" s="128"/>
      <c r="B37" s="431" t="s">
        <v>90</v>
      </c>
      <c r="C37" s="433"/>
      <c r="D37" s="233" t="s">
        <v>202</v>
      </c>
      <c r="E37" s="235" t="str">
        <f>IF(D15="Please select","Please select 'Functional Unit' above",D15)</f>
        <v>MW</v>
      </c>
      <c r="F37" s="236"/>
      <c r="G37" s="91">
        <v>1.01</v>
      </c>
      <c r="H37" s="100">
        <v>0.87</v>
      </c>
      <c r="I37" s="100">
        <v>1.22</v>
      </c>
      <c r="J37" s="100">
        <v>1.08</v>
      </c>
      <c r="K37" s="100">
        <v>0.98</v>
      </c>
      <c r="L37" s="91">
        <v>1</v>
      </c>
      <c r="M37" s="100">
        <v>0.85</v>
      </c>
      <c r="N37" s="100">
        <v>1.19</v>
      </c>
      <c r="O37" s="100"/>
      <c r="P37" s="100">
        <v>0.9</v>
      </c>
      <c r="Q37" s="91">
        <v>0.98</v>
      </c>
      <c r="R37" s="100">
        <v>0.83</v>
      </c>
      <c r="S37" s="100">
        <v>1.1599999999999999</v>
      </c>
      <c r="T37" s="100"/>
      <c r="U37" s="100"/>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row>
    <row r="38" spans="1:53">
      <c r="A38" s="128"/>
      <c r="B38" s="431"/>
      <c r="C38" s="433"/>
      <c r="D38" s="234"/>
      <c r="E38" s="237"/>
      <c r="F38" s="189"/>
      <c r="G38" s="102" t="s">
        <v>203</v>
      </c>
      <c r="H38" s="102" t="s">
        <v>203</v>
      </c>
      <c r="I38" s="102" t="s">
        <v>203</v>
      </c>
      <c r="J38" s="101" t="s">
        <v>204</v>
      </c>
      <c r="K38" s="101" t="s">
        <v>205</v>
      </c>
      <c r="L38" s="102" t="s">
        <v>203</v>
      </c>
      <c r="M38" s="102" t="s">
        <v>203</v>
      </c>
      <c r="N38" s="102" t="s">
        <v>203</v>
      </c>
      <c r="O38" s="101" t="s">
        <v>188</v>
      </c>
      <c r="P38" s="101" t="s">
        <v>205</v>
      </c>
      <c r="Q38" s="102" t="s">
        <v>203</v>
      </c>
      <c r="R38" s="102" t="s">
        <v>203</v>
      </c>
      <c r="S38" s="102" t="s">
        <v>203</v>
      </c>
      <c r="T38" s="101" t="s">
        <v>188</v>
      </c>
      <c r="U38" s="101" t="s">
        <v>188</v>
      </c>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row>
    <row r="39" spans="1:53" ht="15" customHeight="1">
      <c r="A39" s="128"/>
      <c r="B39" s="431" t="s">
        <v>206</v>
      </c>
      <c r="C39" s="431"/>
      <c r="D39" s="233" t="s">
        <v>202</v>
      </c>
      <c r="E39" s="235" t="str">
        <f>IF(D15="Please select","Please select 'Functional Unit' above",D15)</f>
        <v>MW</v>
      </c>
      <c r="F39" s="236"/>
      <c r="G39" s="124"/>
      <c r="H39" s="100"/>
      <c r="I39" s="101"/>
      <c r="J39" s="100"/>
      <c r="K39" s="101"/>
      <c r="L39" s="124"/>
      <c r="M39" s="100"/>
      <c r="N39" s="101"/>
      <c r="O39" s="101"/>
      <c r="P39" s="101"/>
      <c r="Q39" s="124"/>
      <c r="R39" s="100"/>
      <c r="S39" s="101"/>
      <c r="T39" s="100"/>
      <c r="U39" s="100"/>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row>
    <row r="40" spans="1:53" ht="15" customHeight="1">
      <c r="A40" s="128"/>
      <c r="B40" s="431"/>
      <c r="C40" s="431"/>
      <c r="D40" s="234"/>
      <c r="E40" s="237"/>
      <c r="F40" s="189"/>
      <c r="G40" s="101" t="s">
        <v>188</v>
      </c>
      <c r="H40" s="101" t="s">
        <v>188</v>
      </c>
      <c r="I40" s="101" t="s">
        <v>188</v>
      </c>
      <c r="J40" s="101" t="s">
        <v>188</v>
      </c>
      <c r="K40" s="101" t="s">
        <v>188</v>
      </c>
      <c r="L40" s="101" t="s">
        <v>188</v>
      </c>
      <c r="M40" s="101" t="s">
        <v>188</v>
      </c>
      <c r="N40" s="101" t="s">
        <v>188</v>
      </c>
      <c r="O40" s="101" t="s">
        <v>188</v>
      </c>
      <c r="P40" s="101" t="s">
        <v>188</v>
      </c>
      <c r="Q40" s="101" t="s">
        <v>188</v>
      </c>
      <c r="R40" s="101" t="s">
        <v>188</v>
      </c>
      <c r="S40" s="101" t="s">
        <v>188</v>
      </c>
      <c r="T40" s="101" t="s">
        <v>188</v>
      </c>
      <c r="U40" s="101" t="s">
        <v>188</v>
      </c>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row>
    <row r="41" spans="1:53" ht="15.75" customHeight="1">
      <c r="A41" s="128"/>
      <c r="B41" s="431" t="s">
        <v>207</v>
      </c>
      <c r="C41" s="431"/>
      <c r="D41" s="233" t="s">
        <v>202</v>
      </c>
      <c r="E41" s="235" t="str">
        <f>IF(D15="Please select","Please select 'Activity Unit' above",D15)</f>
        <v>MW</v>
      </c>
      <c r="F41" s="236"/>
      <c r="G41" s="91">
        <v>0.05</v>
      </c>
      <c r="H41" s="100">
        <v>0.05</v>
      </c>
      <c r="I41" s="100">
        <v>0.06</v>
      </c>
      <c r="J41" s="100">
        <v>0</v>
      </c>
      <c r="K41" s="100">
        <v>0.04</v>
      </c>
      <c r="L41" s="91">
        <v>0.05</v>
      </c>
      <c r="M41" s="100">
        <v>0.04</v>
      </c>
      <c r="N41" s="100">
        <v>0.06</v>
      </c>
      <c r="O41" s="100"/>
      <c r="P41" s="100">
        <v>0.04</v>
      </c>
      <c r="Q41" s="91">
        <v>0.05</v>
      </c>
      <c r="R41" s="100">
        <v>0.04</v>
      </c>
      <c r="S41" s="100">
        <v>0.06</v>
      </c>
      <c r="T41" s="100"/>
      <c r="U41" s="100"/>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row>
    <row r="42" spans="1:53" ht="15" customHeight="1">
      <c r="A42" s="128"/>
      <c r="B42" s="431"/>
      <c r="C42" s="431"/>
      <c r="D42" s="234"/>
      <c r="E42" s="237"/>
      <c r="F42" s="189"/>
      <c r="G42" s="102" t="s">
        <v>203</v>
      </c>
      <c r="H42" s="102" t="s">
        <v>203</v>
      </c>
      <c r="I42" s="102" t="s">
        <v>203</v>
      </c>
      <c r="J42" s="101" t="s">
        <v>204</v>
      </c>
      <c r="K42" s="101" t="s">
        <v>205</v>
      </c>
      <c r="L42" s="102" t="s">
        <v>203</v>
      </c>
      <c r="M42" s="102" t="s">
        <v>203</v>
      </c>
      <c r="N42" s="102" t="s">
        <v>203</v>
      </c>
      <c r="O42" s="101" t="s">
        <v>188</v>
      </c>
      <c r="P42" s="101" t="s">
        <v>205</v>
      </c>
      <c r="Q42" s="102" t="s">
        <v>203</v>
      </c>
      <c r="R42" s="102" t="s">
        <v>203</v>
      </c>
      <c r="S42" s="102" t="s">
        <v>203</v>
      </c>
      <c r="T42" s="101" t="s">
        <v>188</v>
      </c>
      <c r="U42" s="101" t="s">
        <v>188</v>
      </c>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row>
    <row r="43" spans="1:53" ht="15.75" customHeight="1">
      <c r="A43" s="128"/>
      <c r="B43" s="431" t="s">
        <v>208</v>
      </c>
      <c r="C43" s="431"/>
      <c r="D43" s="233" t="s">
        <v>202</v>
      </c>
      <c r="E43" s="235" t="str">
        <f>IF(D15="Please select","Please select 'Functional Unit' above",D15)</f>
        <v>MW</v>
      </c>
      <c r="F43" s="236"/>
      <c r="G43" s="91">
        <v>0.03</v>
      </c>
      <c r="H43" s="100">
        <v>0.03</v>
      </c>
      <c r="I43" s="100">
        <v>0.03</v>
      </c>
      <c r="J43" s="100">
        <v>0.02</v>
      </c>
      <c r="K43" s="100"/>
      <c r="L43" s="91">
        <v>0.03</v>
      </c>
      <c r="M43" s="100">
        <v>0.03</v>
      </c>
      <c r="N43" s="100">
        <v>0.03</v>
      </c>
      <c r="O43" s="100"/>
      <c r="P43" s="100"/>
      <c r="Q43" s="91">
        <v>0.03</v>
      </c>
      <c r="R43" s="100">
        <v>0.03</v>
      </c>
      <c r="S43" s="100">
        <v>0.03</v>
      </c>
      <c r="T43" s="100"/>
      <c r="U43" s="100"/>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row>
    <row r="44" spans="1:53" ht="15" customHeight="1">
      <c r="A44" s="128"/>
      <c r="B44" s="431"/>
      <c r="C44" s="431"/>
      <c r="D44" s="234"/>
      <c r="E44" s="237"/>
      <c r="F44" s="189"/>
      <c r="G44" s="102" t="s">
        <v>203</v>
      </c>
      <c r="H44" s="102" t="s">
        <v>203</v>
      </c>
      <c r="I44" s="102" t="s">
        <v>203</v>
      </c>
      <c r="J44" s="101" t="s">
        <v>204</v>
      </c>
      <c r="K44" s="101" t="s">
        <v>205</v>
      </c>
      <c r="L44" s="102" t="s">
        <v>203</v>
      </c>
      <c r="M44" s="102" t="s">
        <v>203</v>
      </c>
      <c r="N44" s="102" t="s">
        <v>203</v>
      </c>
      <c r="O44" s="101" t="s">
        <v>188</v>
      </c>
      <c r="P44" s="101" t="s">
        <v>205</v>
      </c>
      <c r="Q44" s="102" t="s">
        <v>203</v>
      </c>
      <c r="R44" s="102" t="s">
        <v>203</v>
      </c>
      <c r="S44" s="102" t="s">
        <v>203</v>
      </c>
      <c r="T44" s="101" t="s">
        <v>188</v>
      </c>
      <c r="U44" s="101" t="s">
        <v>188</v>
      </c>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row>
    <row r="45" spans="1:53" ht="315.75" customHeight="1">
      <c r="A45" s="128"/>
      <c r="B45" s="427" t="s">
        <v>209</v>
      </c>
      <c r="C45" s="427"/>
      <c r="D45" s="434" t="s">
        <v>210</v>
      </c>
      <c r="E45" s="434"/>
      <c r="F45" s="434"/>
      <c r="G45" s="434"/>
      <c r="H45" s="434"/>
      <c r="I45" s="434"/>
      <c r="J45" s="434"/>
      <c r="K45" s="434"/>
      <c r="L45" s="434"/>
      <c r="M45" s="434"/>
      <c r="N45" s="434"/>
      <c r="O45" s="434"/>
      <c r="P45" s="434"/>
      <c r="Q45" s="434"/>
      <c r="R45" s="434"/>
      <c r="S45" s="434"/>
      <c r="T45" s="434"/>
      <c r="U45" s="434"/>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BA45" s="106" t="str">
        <f>D45</f>
        <v xml:space="preserve">Overview:
The ETRI (2014), Energy Matters (2012), IEA ETSAP (2010) and PBL (2017) and ECN (2011) reports provide information on gas-fired CHP' investment costs/capital expense (CAPEX), fixed operational costs (FOM), and variable operational costs (VOM). Costs are described for different capacity levels expressed per unit of capacity.
Costs explanation per source:
•	ETRI (2014) indicates the CAPEX of a CCGT advanced CHP (ETRI, 2014). ETRI indicates a CAPEX of 870-1210 €/kWe for the plant in 2020, a CAPEX of 850-1180 €/kWe for the plant in 2030 and a CAPEX of 830-1150 €/kWe for the plant in 2050. The FOM costs per year in 2020, 2030 and 2050 amount to 5,2% of the CAPEX, namely 3,9% for FOM and 1,3% for FOM refurbishment (ETRI, 2014). The VOM costs per year in 2020, 2030 and 2050 amount to 4 €/MWh (ETRI, 2014) and these are converted to €/MWe assuming 7.000 full load hours per year. In the CAPEX the following cost components are included (ETRI, 2014): Civil and structural costs, Major equipment costs, Electrical and I&amp;C supply and installation, Project indirect costs, Development costs and Interconnection costs. Costs not included are: Balance of plant costs and Insurance costs (ETRI, 2014).
• Energy Matters (2012) indicates investment costs of a STEG with capacity of 120MWe (Energy Matters, 2012). Energy Matters indicates an investment of 1.050 euros/kWe. CAPEX ncludes Civil and structural costs, Major equipment costs including heat disconnection costs. Fixed operational costs are zero (Energy Matters, 2012). Variable costs per year are 2,52 Million Euros per year (Energy Matters, 2012). This plant is used for electricity production and disctrict heating. 
• According to the IEA (2010) the investment cost of CCGT CHP plant (including indirect costs or IDC) is in the range of $1100 to $1800/kWe , which is 10-45% higher than the cost of a power plant, depending  on the capacity of the plant (IEA ETSAP, 2010).  Typical investment costs amount to $1300/kWe (inc. IDC). The O&amp;M costs, which are given as the total of fixed and variable, are in the range of $40/kWe to $60/kWe per year (typically $50/kWe). According to the IEA (2010) projection, incremental improvements and technology learning may lead to investment cost of $1200/kWe by 2020 and $1100/kWe by 2030 (IEA ETSAP, 2010). 
When a CHP plant supplies heat to a heat network for the first time, there are additional investment costs for heat disconnection:
• PBL (2017) indicates an investment of 150-175 euros2017/kWth,output (PBL, 2017). The costs consist of the investment/CAPEX for heat disconnection (Dutch: 'kosten warmteuitkoppeling'). The fixed operational costs per year are 5% of the investment.
• ECN (2011) indicates an investment of 300 euros2011/kWth,output (ECN, 2011). The costs indicated consist of the investment/CAPEX for heat disconnection (Dutch: 'kosten warmteuitkoppeling'). 
</v>
      </c>
    </row>
    <row r="46" spans="1:53" ht="21" customHeight="1">
      <c r="A46" s="128"/>
      <c r="B46" s="223" t="s">
        <v>104</v>
      </c>
      <c r="C46" s="223"/>
      <c r="D46" s="223"/>
      <c r="E46" s="223"/>
      <c r="F46" s="223"/>
      <c r="G46" s="223"/>
      <c r="H46" s="223"/>
      <c r="I46" s="223"/>
      <c r="J46" s="223"/>
      <c r="K46" s="223"/>
      <c r="L46" s="223"/>
      <c r="M46" s="223"/>
      <c r="N46" s="223"/>
      <c r="O46" s="223"/>
      <c r="P46" s="223"/>
      <c r="Q46" s="223"/>
      <c r="R46" s="223"/>
      <c r="S46" s="223"/>
      <c r="T46" s="223"/>
      <c r="U46" s="223"/>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row>
    <row r="47" spans="1:53" ht="15.75" customHeight="1">
      <c r="A47" s="128"/>
      <c r="B47" s="207" t="s">
        <v>211</v>
      </c>
      <c r="C47" s="208"/>
      <c r="D47" s="222" t="s">
        <v>212</v>
      </c>
      <c r="E47" s="222"/>
      <c r="F47" s="222" t="s">
        <v>213</v>
      </c>
      <c r="G47" s="217" t="s">
        <v>190</v>
      </c>
      <c r="H47" s="217"/>
      <c r="I47" s="217"/>
      <c r="J47" s="217"/>
      <c r="K47" s="217"/>
      <c r="L47" s="218">
        <v>2030</v>
      </c>
      <c r="M47" s="218"/>
      <c r="N47" s="218"/>
      <c r="O47" s="218"/>
      <c r="P47" s="218"/>
      <c r="Q47" s="217">
        <v>2050</v>
      </c>
      <c r="R47" s="217"/>
      <c r="S47" s="217"/>
      <c r="T47" s="217"/>
      <c r="U47" s="217"/>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row>
    <row r="48" spans="1:53">
      <c r="A48" s="128"/>
      <c r="B48" s="209"/>
      <c r="C48" s="210"/>
      <c r="D48" s="222"/>
      <c r="E48" s="222"/>
      <c r="F48" s="222"/>
      <c r="G48" s="158"/>
      <c r="H48" s="158"/>
      <c r="I48" s="158"/>
      <c r="J48" s="158" t="s">
        <v>184</v>
      </c>
      <c r="K48" s="158" t="s">
        <v>185</v>
      </c>
      <c r="L48" s="159" t="s">
        <v>181</v>
      </c>
      <c r="M48" s="159" t="s">
        <v>182</v>
      </c>
      <c r="N48" s="159" t="s">
        <v>183</v>
      </c>
      <c r="O48" s="159" t="s">
        <v>184</v>
      </c>
      <c r="P48" s="159" t="s">
        <v>185</v>
      </c>
      <c r="Q48" s="158" t="s">
        <v>181</v>
      </c>
      <c r="R48" s="158" t="s">
        <v>182</v>
      </c>
      <c r="S48" s="158" t="s">
        <v>183</v>
      </c>
      <c r="T48" s="158" t="s">
        <v>184</v>
      </c>
      <c r="U48" s="158" t="s">
        <v>185</v>
      </c>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row>
    <row r="49" spans="1:53" ht="15.75" customHeight="1">
      <c r="A49" s="128"/>
      <c r="B49" s="435" t="s">
        <v>214</v>
      </c>
      <c r="C49" s="436"/>
      <c r="D49" s="437" t="s">
        <v>215</v>
      </c>
      <c r="E49" s="437"/>
      <c r="F49" s="232" t="s">
        <v>145</v>
      </c>
      <c r="G49" s="121">
        <v>-1</v>
      </c>
      <c r="H49" s="100">
        <v>-1</v>
      </c>
      <c r="I49" s="100">
        <v>-1</v>
      </c>
      <c r="J49" s="100"/>
      <c r="K49" s="100"/>
      <c r="L49" s="121">
        <v>-1</v>
      </c>
      <c r="M49" s="100">
        <v>-1</v>
      </c>
      <c r="N49" s="100">
        <v>-1</v>
      </c>
      <c r="O49" s="100"/>
      <c r="P49" s="100"/>
      <c r="Q49" s="121">
        <v>-1</v>
      </c>
      <c r="R49" s="100">
        <v>-1</v>
      </c>
      <c r="S49" s="100">
        <v>-1</v>
      </c>
      <c r="T49" s="100"/>
      <c r="U49" s="100"/>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row>
    <row r="50" spans="1:53">
      <c r="A50" s="128"/>
      <c r="B50" s="438"/>
      <c r="C50" s="439"/>
      <c r="D50" s="437"/>
      <c r="E50" s="437"/>
      <c r="F50" s="232"/>
      <c r="G50" s="101" t="s">
        <v>216</v>
      </c>
      <c r="H50" s="101" t="s">
        <v>204</v>
      </c>
      <c r="I50" s="101" t="s">
        <v>205</v>
      </c>
      <c r="J50" s="101" t="s">
        <v>188</v>
      </c>
      <c r="K50" s="101" t="s">
        <v>188</v>
      </c>
      <c r="L50" s="101" t="s">
        <v>216</v>
      </c>
      <c r="M50" s="101" t="s">
        <v>204</v>
      </c>
      <c r="N50" s="101" t="s">
        <v>205</v>
      </c>
      <c r="O50" s="101" t="s">
        <v>188</v>
      </c>
      <c r="P50" s="101" t="s">
        <v>188</v>
      </c>
      <c r="Q50" s="101" t="s">
        <v>216</v>
      </c>
      <c r="R50" s="101" t="s">
        <v>204</v>
      </c>
      <c r="S50" s="101" t="s">
        <v>205</v>
      </c>
      <c r="T50" s="101" t="s">
        <v>188</v>
      </c>
      <c r="U50" s="101" t="s">
        <v>188</v>
      </c>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row>
    <row r="51" spans="1:53" ht="15" customHeight="1">
      <c r="A51" s="128"/>
      <c r="B51" s="438"/>
      <c r="C51" s="439"/>
      <c r="D51" s="440" t="s">
        <v>217</v>
      </c>
      <c r="E51" s="441"/>
      <c r="F51" s="232" t="s">
        <v>145</v>
      </c>
      <c r="G51" s="91">
        <v>2</v>
      </c>
      <c r="H51" s="100">
        <v>2.33</v>
      </c>
      <c r="I51" s="100">
        <v>2.17</v>
      </c>
      <c r="J51" s="100"/>
      <c r="K51" s="100"/>
      <c r="L51" s="91">
        <v>2</v>
      </c>
      <c r="M51" s="100">
        <v>2.33</v>
      </c>
      <c r="N51" s="100">
        <v>2.11</v>
      </c>
      <c r="O51" s="100"/>
      <c r="P51" s="100"/>
      <c r="Q51" s="91">
        <v>2</v>
      </c>
      <c r="R51" s="100">
        <v>2.33</v>
      </c>
      <c r="S51" s="100">
        <v>2.11</v>
      </c>
      <c r="T51" s="100"/>
      <c r="U51" s="100"/>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row>
    <row r="52" spans="1:53">
      <c r="A52" s="128"/>
      <c r="B52" s="438"/>
      <c r="C52" s="439"/>
      <c r="D52" s="442"/>
      <c r="E52" s="443"/>
      <c r="F52" s="232"/>
      <c r="G52" s="101" t="s">
        <v>216</v>
      </c>
      <c r="H52" s="101" t="s">
        <v>204</v>
      </c>
      <c r="I52" s="101" t="s">
        <v>205</v>
      </c>
      <c r="J52" s="101" t="s">
        <v>188</v>
      </c>
      <c r="K52" s="101" t="s">
        <v>188</v>
      </c>
      <c r="L52" s="101" t="s">
        <v>216</v>
      </c>
      <c r="M52" s="101" t="s">
        <v>204</v>
      </c>
      <c r="N52" s="101" t="s">
        <v>205</v>
      </c>
      <c r="O52" s="101" t="s">
        <v>188</v>
      </c>
      <c r="P52" s="101" t="s">
        <v>188</v>
      </c>
      <c r="Q52" s="101" t="s">
        <v>216</v>
      </c>
      <c r="R52" s="101" t="s">
        <v>204</v>
      </c>
      <c r="S52" s="101" t="s">
        <v>205</v>
      </c>
      <c r="T52" s="101" t="s">
        <v>188</v>
      </c>
      <c r="U52" s="101" t="s">
        <v>188</v>
      </c>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row>
    <row r="53" spans="1:53">
      <c r="A53" s="128"/>
      <c r="B53" s="438"/>
      <c r="C53" s="439"/>
      <c r="D53" s="437" t="s">
        <v>218</v>
      </c>
      <c r="E53" s="437"/>
      <c r="F53" s="232" t="s">
        <v>145</v>
      </c>
      <c r="G53" s="91">
        <v>-0.8</v>
      </c>
      <c r="H53" s="100">
        <v>-0.98</v>
      </c>
      <c r="I53" s="100">
        <v>-0.74</v>
      </c>
      <c r="J53" s="100"/>
      <c r="K53" s="100"/>
      <c r="L53" s="91">
        <v>-0.8</v>
      </c>
      <c r="M53" s="100">
        <v>-0.98</v>
      </c>
      <c r="N53" s="100">
        <v>-0.69</v>
      </c>
      <c r="O53" s="100"/>
      <c r="P53" s="100"/>
      <c r="Q53" s="91">
        <v>-0.8</v>
      </c>
      <c r="R53" s="100">
        <v>-0.98</v>
      </c>
      <c r="S53" s="100">
        <f>0.69</f>
        <v>0.69</v>
      </c>
      <c r="T53" s="100"/>
      <c r="U53" s="100"/>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row>
    <row r="54" spans="1:53">
      <c r="A54" s="128"/>
      <c r="B54" s="438"/>
      <c r="C54" s="439"/>
      <c r="D54" s="437"/>
      <c r="E54" s="437"/>
      <c r="F54" s="232"/>
      <c r="G54" s="101" t="s">
        <v>216</v>
      </c>
      <c r="H54" s="101" t="s">
        <v>204</v>
      </c>
      <c r="I54" s="101" t="s">
        <v>205</v>
      </c>
      <c r="J54" s="101" t="s">
        <v>188</v>
      </c>
      <c r="K54" s="101" t="s">
        <v>188</v>
      </c>
      <c r="L54" s="101" t="s">
        <v>216</v>
      </c>
      <c r="M54" s="101" t="s">
        <v>204</v>
      </c>
      <c r="N54" s="101" t="s">
        <v>205</v>
      </c>
      <c r="O54" s="101" t="s">
        <v>188</v>
      </c>
      <c r="P54" s="101" t="s">
        <v>188</v>
      </c>
      <c r="Q54" s="101" t="s">
        <v>216</v>
      </c>
      <c r="R54" s="101" t="s">
        <v>204</v>
      </c>
      <c r="S54" s="101" t="s">
        <v>205</v>
      </c>
      <c r="T54" s="101" t="s">
        <v>188</v>
      </c>
      <c r="U54" s="101" t="s">
        <v>188</v>
      </c>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row>
    <row r="55" spans="1:53">
      <c r="A55" s="128"/>
      <c r="B55" s="438"/>
      <c r="C55" s="439"/>
      <c r="D55" s="437" t="s">
        <v>219</v>
      </c>
      <c r="E55" s="437"/>
      <c r="F55" s="232" t="s">
        <v>145</v>
      </c>
      <c r="G55" s="91"/>
      <c r="H55" s="100"/>
      <c r="I55" s="100"/>
      <c r="J55" s="100"/>
      <c r="K55" s="100"/>
      <c r="L55" s="91"/>
      <c r="M55" s="100"/>
      <c r="N55" s="100"/>
      <c r="O55" s="100"/>
      <c r="P55" s="100"/>
      <c r="Q55" s="91"/>
      <c r="R55" s="100"/>
      <c r="S55" s="100"/>
      <c r="T55" s="100"/>
      <c r="U55" s="100"/>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row>
    <row r="56" spans="1:53">
      <c r="A56" s="128"/>
      <c r="B56" s="444"/>
      <c r="C56" s="445"/>
      <c r="D56" s="437"/>
      <c r="E56" s="437"/>
      <c r="F56" s="232"/>
      <c r="G56" s="101"/>
      <c r="H56" s="101" t="s">
        <v>188</v>
      </c>
      <c r="I56" s="101" t="s">
        <v>188</v>
      </c>
      <c r="J56" s="101" t="s">
        <v>188</v>
      </c>
      <c r="K56" s="101" t="s">
        <v>188</v>
      </c>
      <c r="L56" s="101"/>
      <c r="M56" s="101" t="s">
        <v>188</v>
      </c>
      <c r="N56" s="101" t="s">
        <v>188</v>
      </c>
      <c r="O56" s="101" t="s">
        <v>188</v>
      </c>
      <c r="P56" s="101" t="s">
        <v>188</v>
      </c>
      <c r="Q56" s="101"/>
      <c r="R56" s="101" t="s">
        <v>188</v>
      </c>
      <c r="S56" s="101" t="s">
        <v>188</v>
      </c>
      <c r="T56" s="101" t="s">
        <v>188</v>
      </c>
      <c r="U56" s="101" t="s">
        <v>188</v>
      </c>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row>
    <row r="57" spans="1:53" ht="326.25" customHeight="1">
      <c r="A57" s="128"/>
      <c r="B57" s="431" t="s">
        <v>220</v>
      </c>
      <c r="C57" s="431"/>
      <c r="D57" s="434" t="s">
        <v>221</v>
      </c>
      <c r="E57" s="434"/>
      <c r="F57" s="434"/>
      <c r="G57" s="434"/>
      <c r="H57" s="434"/>
      <c r="I57" s="434"/>
      <c r="J57" s="434"/>
      <c r="K57" s="434"/>
      <c r="L57" s="434"/>
      <c r="M57" s="434"/>
      <c r="N57" s="434"/>
      <c r="O57" s="434"/>
      <c r="P57" s="434"/>
      <c r="Q57" s="434"/>
      <c r="R57" s="434"/>
      <c r="S57" s="434"/>
      <c r="T57" s="434"/>
      <c r="U57" s="434"/>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BA57" s="106" t="str">
        <f>D57</f>
        <v xml:space="preserve">Overview:
The electrical efficiency of existing combined cycle gas turbines in different OECD countries ranges between 39% and 61% (IEA, 2015). Depending on capacity of the plant, generally lower efficiencies are found for smaller units and higher efficiencies for larger units (Gasterra, 2008). 
The electrical efficiency of a CHP plant can only improve marginally due to further technical optimizations. The maximum possible efficiency of any heat engine is defined as the Carnot efficiency, which is not obtainable in practice. 
According to ETRI (2014) current combined cycle power plants used for cogeneration have a typical electrical efficiency of 59% at peak electrical load and a thermal efficiency of 46% at peak thermal load (ETRI, 2014). Peak load efficiency means the efficiency if the plant maximizes one of its outputs. In case of CHP, a higher heat output lowers the electricity output and vice versa.
Ratios (used to determine min.-max. range in table above):
• ECN (2011) indicates a 57% electrical efficiency and (possible) thermal efficiency of 40% for a gas-fired CHP plant used for electricity production and district heating (ECN, 2011). Disconnecting 0,4GJth at 120 °C per GJ natural gas input results in a decrease of electricicity production from 0,57GJe to 0,5GJe (ECN, 2011). For 2020, 2030 and 2050 the same values are assumed.
• Energy Matters (2012) indicates a 42% thermal efficiency and a 43% electrical efficiency for a gas-fired combined cycle CHP used for large scale district heating (Energy Matters, 2012). For 2020, 2030 and 2050 the same values are assumed.
• IEA ETSAP (2010) indicates an electrical efficiency of 42-47% for a natural gas-fired combined cycle CHP and a thermal efficiency (steam) of 33-38% (IEA ETSAP, 2010). The 2020 projection is  an electrical efficiency of 44-48% (46%) and a thermal efficiency of 32-36% (34%). The 2030 projection is  an electrical efficiency of 46-49% (47,5%) and a thermal efficiency of 31-34% (32,5%) (IEA ETSAP, 2010). For 2050 the same efficiencies as 2030 are assumed.
Other ratios:
• ETRI (2014) presents energy efficiencies of a CCGT advanced CHP (ETRI, 2014). Efficiencies at peak thermal load or peak electrical load are given in the report, which means that the plant maximizes either its heat or electricity output. In 2020, the max. thermal efficiency is 46% and the max. electrical efficiency is 59% (ETRI, 2014). In 2030, the max. thermal efficiency is 47% and the max. electrical efficiency is 61% (ETRI, 2014). In 2050, the max. thermal efficiency is 49% and the max. electrical efficiency is 63% (ETRI, 2014). The ETRI report does not give (max.) heat efficiency when (max.) electrical efficiency is given and vice versa.
</v>
      </c>
    </row>
    <row r="58" spans="1:53" ht="21" customHeight="1">
      <c r="A58" s="128"/>
      <c r="B58" s="224" t="s">
        <v>222</v>
      </c>
      <c r="C58" s="225"/>
      <c r="D58" s="225"/>
      <c r="E58" s="225"/>
      <c r="F58" s="225"/>
      <c r="G58" s="225"/>
      <c r="H58" s="225"/>
      <c r="I58" s="225"/>
      <c r="J58" s="225"/>
      <c r="K58" s="225"/>
      <c r="L58" s="225"/>
      <c r="M58" s="225"/>
      <c r="N58" s="225"/>
      <c r="O58" s="225"/>
      <c r="P58" s="225"/>
      <c r="Q58" s="225"/>
      <c r="R58" s="225"/>
      <c r="S58" s="225"/>
      <c r="T58" s="225"/>
      <c r="U58" s="225"/>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row>
    <row r="59" spans="1:53" ht="16.5" customHeight="1">
      <c r="A59" s="128"/>
      <c r="B59" s="435" t="s">
        <v>223</v>
      </c>
      <c r="C59" s="436"/>
      <c r="D59" s="226" t="s">
        <v>224</v>
      </c>
      <c r="E59" s="227"/>
      <c r="F59" s="230" t="s">
        <v>213</v>
      </c>
      <c r="G59" s="217" t="s">
        <v>190</v>
      </c>
      <c r="H59" s="217"/>
      <c r="I59" s="217"/>
      <c r="J59" s="217"/>
      <c r="K59" s="217"/>
      <c r="L59" s="218">
        <v>2030</v>
      </c>
      <c r="M59" s="218"/>
      <c r="N59" s="218"/>
      <c r="O59" s="218"/>
      <c r="P59" s="218"/>
      <c r="Q59" s="217">
        <v>2050</v>
      </c>
      <c r="R59" s="217"/>
      <c r="S59" s="217"/>
      <c r="T59" s="217"/>
      <c r="U59" s="217"/>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row>
    <row r="60" spans="1:53">
      <c r="A60" s="128"/>
      <c r="B60" s="438"/>
      <c r="C60" s="439"/>
      <c r="D60" s="228"/>
      <c r="E60" s="229"/>
      <c r="F60" s="231"/>
      <c r="G60" s="158" t="s">
        <v>181</v>
      </c>
      <c r="H60" s="158" t="s">
        <v>182</v>
      </c>
      <c r="I60" s="158" t="s">
        <v>183</v>
      </c>
      <c r="J60" s="158" t="s">
        <v>184</v>
      </c>
      <c r="K60" s="158" t="s">
        <v>185</v>
      </c>
      <c r="L60" s="159" t="s">
        <v>181</v>
      </c>
      <c r="M60" s="159" t="s">
        <v>182</v>
      </c>
      <c r="N60" s="159" t="s">
        <v>183</v>
      </c>
      <c r="O60" s="159" t="s">
        <v>184</v>
      </c>
      <c r="P60" s="159" t="s">
        <v>185</v>
      </c>
      <c r="Q60" s="158" t="s">
        <v>181</v>
      </c>
      <c r="R60" s="158" t="s">
        <v>182</v>
      </c>
      <c r="S60" s="158" t="s">
        <v>183</v>
      </c>
      <c r="T60" s="158" t="s">
        <v>184</v>
      </c>
      <c r="U60" s="158" t="s">
        <v>185</v>
      </c>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row>
    <row r="61" spans="1:53" ht="15.75" customHeight="1">
      <c r="A61" s="128"/>
      <c r="B61" s="438"/>
      <c r="C61" s="439"/>
      <c r="D61" s="437" t="s">
        <v>225</v>
      </c>
      <c r="E61" s="437"/>
      <c r="F61" s="446" t="s">
        <v>225</v>
      </c>
      <c r="G61" s="91"/>
      <c r="H61" s="100"/>
      <c r="I61" s="100"/>
      <c r="J61" s="100"/>
      <c r="K61" s="100"/>
      <c r="L61" s="91"/>
      <c r="M61" s="100"/>
      <c r="N61" s="100"/>
      <c r="O61" s="100"/>
      <c r="P61" s="100"/>
      <c r="Q61" s="91"/>
      <c r="R61" s="100"/>
      <c r="S61" s="100"/>
      <c r="T61" s="100"/>
      <c r="U61" s="100"/>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row>
    <row r="62" spans="1:53">
      <c r="A62" s="128"/>
      <c r="B62" s="438"/>
      <c r="C62" s="439"/>
      <c r="D62" s="437"/>
      <c r="E62" s="437"/>
      <c r="F62" s="446"/>
      <c r="G62" s="102" t="s">
        <v>188</v>
      </c>
      <c r="H62" s="101" t="s">
        <v>188</v>
      </c>
      <c r="I62" s="101" t="s">
        <v>188</v>
      </c>
      <c r="J62" s="101" t="s">
        <v>188</v>
      </c>
      <c r="K62" s="101" t="s">
        <v>188</v>
      </c>
      <c r="L62" s="102" t="s">
        <v>188</v>
      </c>
      <c r="M62" s="101" t="s">
        <v>188</v>
      </c>
      <c r="N62" s="101" t="s">
        <v>188</v>
      </c>
      <c r="O62" s="101" t="s">
        <v>188</v>
      </c>
      <c r="P62" s="101" t="s">
        <v>188</v>
      </c>
      <c r="Q62" s="102" t="s">
        <v>188</v>
      </c>
      <c r="R62" s="101" t="s">
        <v>188</v>
      </c>
      <c r="S62" s="101" t="s">
        <v>188</v>
      </c>
      <c r="T62" s="101" t="s">
        <v>188</v>
      </c>
      <c r="U62" s="101" t="s">
        <v>188</v>
      </c>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row>
    <row r="63" spans="1:53">
      <c r="A63" s="128"/>
      <c r="B63" s="438"/>
      <c r="C63" s="439"/>
      <c r="D63" s="437" t="s">
        <v>225</v>
      </c>
      <c r="E63" s="437"/>
      <c r="F63" s="446" t="s">
        <v>225</v>
      </c>
      <c r="G63" s="91"/>
      <c r="H63" s="100"/>
      <c r="I63" s="100"/>
      <c r="J63" s="100"/>
      <c r="K63" s="100"/>
      <c r="L63" s="91"/>
      <c r="M63" s="100"/>
      <c r="N63" s="100"/>
      <c r="O63" s="100"/>
      <c r="P63" s="100"/>
      <c r="Q63" s="91"/>
      <c r="R63" s="100"/>
      <c r="S63" s="100"/>
      <c r="T63" s="100"/>
      <c r="U63" s="100"/>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row>
    <row r="64" spans="1:53">
      <c r="A64" s="128"/>
      <c r="B64" s="444"/>
      <c r="C64" s="445"/>
      <c r="D64" s="437"/>
      <c r="E64" s="437"/>
      <c r="F64" s="446"/>
      <c r="G64" s="101" t="s">
        <v>188</v>
      </c>
      <c r="H64" s="101" t="s">
        <v>188</v>
      </c>
      <c r="I64" s="101" t="s">
        <v>188</v>
      </c>
      <c r="J64" s="101" t="s">
        <v>188</v>
      </c>
      <c r="K64" s="101" t="s">
        <v>188</v>
      </c>
      <c r="L64" s="101" t="s">
        <v>188</v>
      </c>
      <c r="M64" s="101" t="s">
        <v>188</v>
      </c>
      <c r="N64" s="101" t="s">
        <v>188</v>
      </c>
      <c r="O64" s="101" t="s">
        <v>188</v>
      </c>
      <c r="P64" s="101" t="s">
        <v>188</v>
      </c>
      <c r="Q64" s="101" t="s">
        <v>188</v>
      </c>
      <c r="R64" s="101" t="s">
        <v>188</v>
      </c>
      <c r="S64" s="101" t="s">
        <v>188</v>
      </c>
      <c r="T64" s="101" t="s">
        <v>188</v>
      </c>
      <c r="U64" s="101" t="s">
        <v>188</v>
      </c>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row>
    <row r="65" spans="1:53" ht="40.5" customHeight="1">
      <c r="A65" s="128"/>
      <c r="B65" s="431" t="s">
        <v>226</v>
      </c>
      <c r="C65" s="431"/>
      <c r="D65" s="434" t="s">
        <v>227</v>
      </c>
      <c r="E65" s="434"/>
      <c r="F65" s="434"/>
      <c r="G65" s="434"/>
      <c r="H65" s="434"/>
      <c r="I65" s="434"/>
      <c r="J65" s="434"/>
      <c r="K65" s="434"/>
      <c r="L65" s="434"/>
      <c r="M65" s="434"/>
      <c r="N65" s="434"/>
      <c r="O65" s="434"/>
      <c r="P65" s="434"/>
      <c r="Q65" s="434"/>
      <c r="R65" s="434"/>
      <c r="S65" s="434"/>
      <c r="T65" s="434"/>
      <c r="U65" s="434"/>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BA65" s="106" t="str">
        <f>D65</f>
        <v>Explain here</v>
      </c>
    </row>
    <row r="66" spans="1:53" ht="21" customHeight="1">
      <c r="A66" s="128"/>
      <c r="B66" s="223" t="s">
        <v>228</v>
      </c>
      <c r="C66" s="223"/>
      <c r="D66" s="223"/>
      <c r="E66" s="223"/>
      <c r="F66" s="223"/>
      <c r="G66" s="223"/>
      <c r="H66" s="223"/>
      <c r="I66" s="223"/>
      <c r="J66" s="223"/>
      <c r="K66" s="223"/>
      <c r="L66" s="223"/>
      <c r="M66" s="223"/>
      <c r="N66" s="223"/>
      <c r="O66" s="223"/>
      <c r="P66" s="223"/>
      <c r="Q66" s="223"/>
      <c r="R66" s="223"/>
      <c r="S66" s="223"/>
      <c r="T66" s="223"/>
      <c r="U66" s="223"/>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row>
    <row r="67" spans="1:53" ht="16.5" customHeight="1">
      <c r="A67" s="128"/>
      <c r="B67" s="447" t="s">
        <v>116</v>
      </c>
      <c r="C67" s="447"/>
      <c r="D67" s="222" t="s">
        <v>229</v>
      </c>
      <c r="E67" s="222"/>
      <c r="F67" s="222" t="s">
        <v>213</v>
      </c>
      <c r="G67" s="217" t="s">
        <v>190</v>
      </c>
      <c r="H67" s="217"/>
      <c r="I67" s="217"/>
      <c r="J67" s="217"/>
      <c r="K67" s="217"/>
      <c r="L67" s="218">
        <v>2030</v>
      </c>
      <c r="M67" s="218"/>
      <c r="N67" s="218"/>
      <c r="O67" s="218"/>
      <c r="P67" s="218"/>
      <c r="Q67" s="217">
        <v>2050</v>
      </c>
      <c r="R67" s="217"/>
      <c r="S67" s="217"/>
      <c r="T67" s="217"/>
      <c r="U67" s="217"/>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row>
    <row r="68" spans="1:53" ht="15.75" customHeight="1">
      <c r="A68" s="128"/>
      <c r="B68" s="447"/>
      <c r="C68" s="447"/>
      <c r="D68" s="222"/>
      <c r="E68" s="222"/>
      <c r="F68" s="222"/>
      <c r="G68" s="158" t="s">
        <v>181</v>
      </c>
      <c r="H68" s="158" t="s">
        <v>182</v>
      </c>
      <c r="I68" s="158" t="s">
        <v>183</v>
      </c>
      <c r="J68" s="158" t="s">
        <v>184</v>
      </c>
      <c r="K68" s="158" t="s">
        <v>185</v>
      </c>
      <c r="L68" s="159" t="s">
        <v>181</v>
      </c>
      <c r="M68" s="159" t="s">
        <v>182</v>
      </c>
      <c r="N68" s="159" t="s">
        <v>183</v>
      </c>
      <c r="O68" s="159" t="s">
        <v>184</v>
      </c>
      <c r="P68" s="159" t="s">
        <v>185</v>
      </c>
      <c r="Q68" s="158" t="s">
        <v>181</v>
      </c>
      <c r="R68" s="158" t="s">
        <v>182</v>
      </c>
      <c r="S68" s="158" t="s">
        <v>183</v>
      </c>
      <c r="T68" s="158" t="s">
        <v>184</v>
      </c>
      <c r="U68" s="158" t="s">
        <v>185</v>
      </c>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row>
    <row r="69" spans="1:53" ht="15.75" customHeight="1">
      <c r="A69" s="128"/>
      <c r="B69" s="447"/>
      <c r="C69" s="447"/>
      <c r="D69" s="437" t="s">
        <v>219</v>
      </c>
      <c r="E69" s="437"/>
      <c r="F69" s="448" t="s">
        <v>219</v>
      </c>
      <c r="G69" s="91"/>
      <c r="H69" s="100"/>
      <c r="I69" s="100"/>
      <c r="J69" s="100"/>
      <c r="K69" s="100"/>
      <c r="L69" s="91"/>
      <c r="M69" s="100"/>
      <c r="N69" s="100"/>
      <c r="O69" s="100"/>
      <c r="P69" s="100"/>
      <c r="Q69" s="91"/>
      <c r="R69" s="100"/>
      <c r="S69" s="100"/>
      <c r="T69" s="100"/>
      <c r="U69" s="100"/>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row>
    <row r="70" spans="1:53" ht="15.75" customHeight="1">
      <c r="A70" s="128"/>
      <c r="B70" s="447"/>
      <c r="C70" s="447"/>
      <c r="D70" s="437"/>
      <c r="E70" s="437"/>
      <c r="F70" s="448"/>
      <c r="G70" s="102" t="s">
        <v>188</v>
      </c>
      <c r="H70" s="101" t="s">
        <v>188</v>
      </c>
      <c r="I70" s="101" t="s">
        <v>188</v>
      </c>
      <c r="J70" s="101" t="s">
        <v>188</v>
      </c>
      <c r="K70" s="101" t="s">
        <v>188</v>
      </c>
      <c r="L70" s="102" t="s">
        <v>188</v>
      </c>
      <c r="M70" s="101" t="s">
        <v>188</v>
      </c>
      <c r="N70" s="101" t="s">
        <v>188</v>
      </c>
      <c r="O70" s="101" t="s">
        <v>188</v>
      </c>
      <c r="P70" s="101" t="s">
        <v>188</v>
      </c>
      <c r="Q70" s="102" t="s">
        <v>188</v>
      </c>
      <c r="R70" s="101" t="s">
        <v>188</v>
      </c>
      <c r="S70" s="101" t="s">
        <v>188</v>
      </c>
      <c r="T70" s="101" t="s">
        <v>188</v>
      </c>
      <c r="U70" s="101" t="s">
        <v>188</v>
      </c>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row>
    <row r="71" spans="1:53" ht="15.75" customHeight="1">
      <c r="A71" s="128"/>
      <c r="B71" s="447"/>
      <c r="C71" s="447"/>
      <c r="D71" s="437" t="s">
        <v>219</v>
      </c>
      <c r="E71" s="437"/>
      <c r="F71" s="448" t="s">
        <v>219</v>
      </c>
      <c r="G71" s="91"/>
      <c r="H71" s="100"/>
      <c r="I71" s="100"/>
      <c r="J71" s="100"/>
      <c r="K71" s="100"/>
      <c r="L71" s="91"/>
      <c r="M71" s="100"/>
      <c r="N71" s="100"/>
      <c r="O71" s="100"/>
      <c r="P71" s="100"/>
      <c r="Q71" s="91"/>
      <c r="R71" s="100"/>
      <c r="S71" s="100"/>
      <c r="T71" s="100"/>
      <c r="U71" s="100"/>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row>
    <row r="72" spans="1:53" ht="15.75" customHeight="1">
      <c r="A72" s="128"/>
      <c r="B72" s="447"/>
      <c r="C72" s="447"/>
      <c r="D72" s="437"/>
      <c r="E72" s="437"/>
      <c r="F72" s="448"/>
      <c r="G72" s="101" t="s">
        <v>188</v>
      </c>
      <c r="H72" s="101" t="s">
        <v>188</v>
      </c>
      <c r="I72" s="101" t="s">
        <v>188</v>
      </c>
      <c r="J72" s="101" t="s">
        <v>188</v>
      </c>
      <c r="K72" s="101" t="s">
        <v>188</v>
      </c>
      <c r="L72" s="101" t="s">
        <v>188</v>
      </c>
      <c r="M72" s="101" t="s">
        <v>188</v>
      </c>
      <c r="N72" s="101" t="s">
        <v>188</v>
      </c>
      <c r="O72" s="101" t="s">
        <v>188</v>
      </c>
      <c r="P72" s="101" t="s">
        <v>188</v>
      </c>
      <c r="Q72" s="101" t="s">
        <v>188</v>
      </c>
      <c r="R72" s="101" t="s">
        <v>188</v>
      </c>
      <c r="S72" s="101" t="s">
        <v>188</v>
      </c>
      <c r="T72" s="101" t="s">
        <v>188</v>
      </c>
      <c r="U72" s="101" t="s">
        <v>188</v>
      </c>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row>
    <row r="73" spans="1:53" ht="15.75" customHeight="1">
      <c r="A73" s="128"/>
      <c r="B73" s="447"/>
      <c r="C73" s="447"/>
      <c r="D73" s="437" t="s">
        <v>219</v>
      </c>
      <c r="E73" s="437"/>
      <c r="F73" s="448" t="s">
        <v>219</v>
      </c>
      <c r="G73" s="91"/>
      <c r="H73" s="100"/>
      <c r="I73" s="100"/>
      <c r="J73" s="100"/>
      <c r="K73" s="100"/>
      <c r="L73" s="91"/>
      <c r="M73" s="100"/>
      <c r="N73" s="100"/>
      <c r="O73" s="100"/>
      <c r="P73" s="100"/>
      <c r="Q73" s="91"/>
      <c r="R73" s="100"/>
      <c r="S73" s="100"/>
      <c r="T73" s="100"/>
      <c r="U73" s="100"/>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row>
    <row r="74" spans="1:53" ht="15.75" customHeight="1">
      <c r="A74" s="128"/>
      <c r="B74" s="447"/>
      <c r="C74" s="447"/>
      <c r="D74" s="437"/>
      <c r="E74" s="437"/>
      <c r="F74" s="448"/>
      <c r="G74" s="101" t="s">
        <v>188</v>
      </c>
      <c r="H74" s="101" t="s">
        <v>188</v>
      </c>
      <c r="I74" s="101" t="s">
        <v>188</v>
      </c>
      <c r="J74" s="101" t="s">
        <v>188</v>
      </c>
      <c r="K74" s="101" t="s">
        <v>188</v>
      </c>
      <c r="L74" s="101" t="s">
        <v>188</v>
      </c>
      <c r="M74" s="101" t="s">
        <v>188</v>
      </c>
      <c r="N74" s="101" t="s">
        <v>188</v>
      </c>
      <c r="O74" s="101" t="s">
        <v>188</v>
      </c>
      <c r="P74" s="101" t="s">
        <v>188</v>
      </c>
      <c r="Q74" s="101" t="s">
        <v>188</v>
      </c>
      <c r="R74" s="101" t="s">
        <v>188</v>
      </c>
      <c r="S74" s="101" t="s">
        <v>188</v>
      </c>
      <c r="T74" s="101" t="s">
        <v>188</v>
      </c>
      <c r="U74" s="101" t="s">
        <v>188</v>
      </c>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row>
    <row r="75" spans="1:53" ht="15.75" customHeight="1">
      <c r="A75" s="128"/>
      <c r="B75" s="447"/>
      <c r="C75" s="447"/>
      <c r="D75" s="437" t="s">
        <v>219</v>
      </c>
      <c r="E75" s="437"/>
      <c r="F75" s="448" t="s">
        <v>219</v>
      </c>
      <c r="G75" s="91"/>
      <c r="H75" s="100"/>
      <c r="I75" s="100"/>
      <c r="J75" s="100"/>
      <c r="K75" s="100"/>
      <c r="L75" s="91"/>
      <c r="M75" s="100"/>
      <c r="N75" s="100"/>
      <c r="O75" s="100"/>
      <c r="P75" s="100"/>
      <c r="Q75" s="91"/>
      <c r="R75" s="100"/>
      <c r="S75" s="100"/>
      <c r="T75" s="100"/>
      <c r="U75" s="100"/>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row>
    <row r="76" spans="1:53" ht="16.5" customHeight="1">
      <c r="A76" s="128"/>
      <c r="B76" s="447"/>
      <c r="C76" s="447"/>
      <c r="D76" s="437"/>
      <c r="E76" s="437"/>
      <c r="F76" s="448"/>
      <c r="G76" s="101" t="s">
        <v>188</v>
      </c>
      <c r="H76" s="101" t="s">
        <v>188</v>
      </c>
      <c r="I76" s="101" t="s">
        <v>188</v>
      </c>
      <c r="J76" s="101" t="s">
        <v>188</v>
      </c>
      <c r="K76" s="101" t="s">
        <v>188</v>
      </c>
      <c r="L76" s="101" t="s">
        <v>188</v>
      </c>
      <c r="M76" s="101" t="s">
        <v>188</v>
      </c>
      <c r="N76" s="101" t="s">
        <v>188</v>
      </c>
      <c r="O76" s="101" t="s">
        <v>188</v>
      </c>
      <c r="P76" s="101" t="s">
        <v>188</v>
      </c>
      <c r="Q76" s="101" t="s">
        <v>188</v>
      </c>
      <c r="R76" s="101" t="s">
        <v>188</v>
      </c>
      <c r="S76" s="101" t="s">
        <v>188</v>
      </c>
      <c r="T76" s="101" t="s">
        <v>188</v>
      </c>
      <c r="U76" s="101" t="s">
        <v>188</v>
      </c>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row>
    <row r="77" spans="1:53" ht="40.5" customHeight="1">
      <c r="A77" s="128"/>
      <c r="B77" s="431" t="s">
        <v>230</v>
      </c>
      <c r="C77" s="431"/>
      <c r="D77" s="219" t="s">
        <v>231</v>
      </c>
      <c r="E77" s="220"/>
      <c r="F77" s="220"/>
      <c r="G77" s="220"/>
      <c r="H77" s="220"/>
      <c r="I77" s="220"/>
      <c r="J77" s="220"/>
      <c r="K77" s="220"/>
      <c r="L77" s="220"/>
      <c r="M77" s="220"/>
      <c r="N77" s="220"/>
      <c r="O77" s="220"/>
      <c r="P77" s="220"/>
      <c r="Q77" s="220"/>
      <c r="R77" s="220"/>
      <c r="S77" s="220"/>
      <c r="T77" s="220"/>
      <c r="U77" s="221"/>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BA77" s="106" t="str">
        <f>D77</f>
        <v>Most of the NOx emissions are prevented due to the flue gas cleaner.</v>
      </c>
    </row>
    <row r="78" spans="1:53" ht="21" customHeight="1">
      <c r="A78" s="128"/>
      <c r="B78" s="204" t="s">
        <v>232</v>
      </c>
      <c r="C78" s="205"/>
      <c r="D78" s="205"/>
      <c r="E78" s="205"/>
      <c r="F78" s="205"/>
      <c r="G78" s="205"/>
      <c r="H78" s="205"/>
      <c r="I78" s="205"/>
      <c r="J78" s="205"/>
      <c r="K78" s="205"/>
      <c r="L78" s="205"/>
      <c r="M78" s="205"/>
      <c r="N78" s="205"/>
      <c r="O78" s="205"/>
      <c r="P78" s="205"/>
      <c r="Q78" s="205"/>
      <c r="R78" s="205"/>
      <c r="S78" s="205"/>
      <c r="T78" s="205"/>
      <c r="U78" s="206"/>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row>
    <row r="79" spans="1:53" ht="15.75" customHeight="1">
      <c r="A79" s="128"/>
      <c r="B79" s="207" t="s">
        <v>233</v>
      </c>
      <c r="C79" s="208"/>
      <c r="D79" s="211" t="s">
        <v>213</v>
      </c>
      <c r="E79" s="212"/>
      <c r="F79" s="213"/>
      <c r="G79" s="217" t="s">
        <v>190</v>
      </c>
      <c r="H79" s="217"/>
      <c r="I79" s="217"/>
      <c r="J79" s="217"/>
      <c r="K79" s="217"/>
      <c r="L79" s="218">
        <v>2030</v>
      </c>
      <c r="M79" s="218"/>
      <c r="N79" s="218"/>
      <c r="O79" s="218"/>
      <c r="P79" s="218"/>
      <c r="Q79" s="217">
        <v>2050</v>
      </c>
      <c r="R79" s="217"/>
      <c r="S79" s="217"/>
      <c r="T79" s="217"/>
      <c r="U79" s="217"/>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row>
    <row r="80" spans="1:53">
      <c r="A80" s="128"/>
      <c r="B80" s="209"/>
      <c r="C80" s="210"/>
      <c r="D80" s="214"/>
      <c r="E80" s="215"/>
      <c r="F80" s="216"/>
      <c r="G80" s="158" t="s">
        <v>181</v>
      </c>
      <c r="H80" s="158" t="s">
        <v>182</v>
      </c>
      <c r="I80" s="158" t="s">
        <v>183</v>
      </c>
      <c r="J80" s="158" t="s">
        <v>184</v>
      </c>
      <c r="K80" s="158" t="s">
        <v>185</v>
      </c>
      <c r="L80" s="159" t="s">
        <v>181</v>
      </c>
      <c r="M80" s="159" t="s">
        <v>182</v>
      </c>
      <c r="N80" s="159" t="s">
        <v>183</v>
      </c>
      <c r="O80" s="159" t="s">
        <v>184</v>
      </c>
      <c r="P80" s="159" t="s">
        <v>185</v>
      </c>
      <c r="Q80" s="158" t="s">
        <v>181</v>
      </c>
      <c r="R80" s="158" t="s">
        <v>182</v>
      </c>
      <c r="S80" s="158" t="s">
        <v>183</v>
      </c>
      <c r="T80" s="158" t="s">
        <v>184</v>
      </c>
      <c r="U80" s="158" t="s">
        <v>185</v>
      </c>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row>
    <row r="81" spans="1:53">
      <c r="A81" s="128"/>
      <c r="B81" s="199" t="s">
        <v>234</v>
      </c>
      <c r="C81" s="200"/>
      <c r="D81" s="203" t="s">
        <v>235</v>
      </c>
      <c r="E81" s="203"/>
      <c r="F81" s="203"/>
      <c r="G81" s="91">
        <v>0.18</v>
      </c>
      <c r="H81" s="141">
        <v>0.09</v>
      </c>
      <c r="I81" s="100"/>
      <c r="J81" s="100"/>
      <c r="K81" s="100"/>
      <c r="L81" s="91">
        <v>0.18</v>
      </c>
      <c r="M81" s="141">
        <v>0.09</v>
      </c>
      <c r="N81" s="100"/>
      <c r="O81" s="100"/>
      <c r="P81" s="100"/>
      <c r="Q81" s="91">
        <v>0.18</v>
      </c>
      <c r="R81" s="141">
        <v>0.09</v>
      </c>
      <c r="S81" s="100"/>
      <c r="T81" s="100"/>
      <c r="U81" s="100"/>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row>
    <row r="82" spans="1:53">
      <c r="A82" s="128"/>
      <c r="B82" s="201"/>
      <c r="C82" s="202"/>
      <c r="D82" s="203"/>
      <c r="E82" s="203"/>
      <c r="F82" s="203"/>
      <c r="G82" s="101" t="s">
        <v>216</v>
      </c>
      <c r="H82" s="101" t="s">
        <v>216</v>
      </c>
      <c r="I82" s="101" t="s">
        <v>188</v>
      </c>
      <c r="J82" s="101" t="s">
        <v>188</v>
      </c>
      <c r="K82" s="101" t="s">
        <v>188</v>
      </c>
      <c r="L82" s="101" t="s">
        <v>216</v>
      </c>
      <c r="M82" s="101" t="s">
        <v>216</v>
      </c>
      <c r="N82" s="101" t="s">
        <v>188</v>
      </c>
      <c r="O82" s="101" t="s">
        <v>188</v>
      </c>
      <c r="P82" s="101" t="s">
        <v>188</v>
      </c>
      <c r="Q82" s="101" t="s">
        <v>216</v>
      </c>
      <c r="R82" s="101" t="s">
        <v>216</v>
      </c>
      <c r="S82" s="101" t="s">
        <v>188</v>
      </c>
      <c r="T82" s="101" t="s">
        <v>188</v>
      </c>
      <c r="U82" s="101" t="s">
        <v>188</v>
      </c>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row>
    <row r="83" spans="1:53">
      <c r="A83" s="128"/>
      <c r="B83" s="199" t="s">
        <v>236</v>
      </c>
      <c r="C83" s="200"/>
      <c r="D83" s="203" t="s">
        <v>237</v>
      </c>
      <c r="E83" s="203"/>
      <c r="F83" s="203"/>
      <c r="G83" s="91">
        <v>0.01</v>
      </c>
      <c r="H83" s="100"/>
      <c r="I83" s="100"/>
      <c r="J83" s="100"/>
      <c r="K83" s="100"/>
      <c r="L83" s="91">
        <v>0.01</v>
      </c>
      <c r="M83" s="100"/>
      <c r="N83" s="100"/>
      <c r="O83" s="100"/>
      <c r="P83" s="100"/>
      <c r="Q83" s="91">
        <v>0.01</v>
      </c>
      <c r="R83" s="100"/>
      <c r="S83" s="100"/>
      <c r="T83" s="100"/>
      <c r="U83" s="100"/>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row>
    <row r="84" spans="1:53">
      <c r="A84" s="128"/>
      <c r="B84" s="201"/>
      <c r="C84" s="202"/>
      <c r="D84" s="203"/>
      <c r="E84" s="203"/>
      <c r="F84" s="203"/>
      <c r="G84" s="101" t="s">
        <v>203</v>
      </c>
      <c r="H84" s="101" t="s">
        <v>188</v>
      </c>
      <c r="I84" s="101" t="s">
        <v>188</v>
      </c>
      <c r="J84" s="101" t="s">
        <v>188</v>
      </c>
      <c r="K84" s="101" t="s">
        <v>188</v>
      </c>
      <c r="L84" s="101" t="s">
        <v>203</v>
      </c>
      <c r="M84" s="101" t="s">
        <v>188</v>
      </c>
      <c r="N84" s="101" t="s">
        <v>188</v>
      </c>
      <c r="O84" s="101" t="s">
        <v>188</v>
      </c>
      <c r="P84" s="101" t="s">
        <v>188</v>
      </c>
      <c r="Q84" s="101" t="s">
        <v>203</v>
      </c>
      <c r="R84" s="101" t="s">
        <v>188</v>
      </c>
      <c r="S84" s="101" t="s">
        <v>188</v>
      </c>
      <c r="T84" s="101" t="s">
        <v>188</v>
      </c>
      <c r="U84" s="101" t="s">
        <v>188</v>
      </c>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row>
    <row r="85" spans="1:53">
      <c r="A85" s="128"/>
      <c r="B85" s="199" t="s">
        <v>238</v>
      </c>
      <c r="C85" s="200"/>
      <c r="D85" s="203" t="s">
        <v>225</v>
      </c>
      <c r="E85" s="203"/>
      <c r="F85" s="203"/>
      <c r="G85" s="91"/>
      <c r="H85" s="100"/>
      <c r="I85" s="100"/>
      <c r="J85" s="100"/>
      <c r="K85" s="100"/>
      <c r="L85" s="91"/>
      <c r="M85" s="100"/>
      <c r="N85" s="100"/>
      <c r="O85" s="100"/>
      <c r="P85" s="100"/>
      <c r="Q85" s="91"/>
      <c r="R85" s="100"/>
      <c r="S85" s="100"/>
      <c r="T85" s="100"/>
      <c r="U85" s="100"/>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row>
    <row r="86" spans="1:53">
      <c r="A86" s="128"/>
      <c r="B86" s="201"/>
      <c r="C86" s="202"/>
      <c r="D86" s="203"/>
      <c r="E86" s="203"/>
      <c r="F86" s="203"/>
      <c r="G86" s="101"/>
      <c r="H86" s="101"/>
      <c r="I86" s="101"/>
      <c r="J86" s="101"/>
      <c r="K86" s="101"/>
      <c r="L86" s="101"/>
      <c r="M86" s="101"/>
      <c r="N86" s="101"/>
      <c r="O86" s="101"/>
      <c r="P86" s="101"/>
      <c r="Q86" s="101"/>
      <c r="R86" s="101"/>
      <c r="S86" s="101"/>
      <c r="T86" s="101"/>
      <c r="U86" s="101"/>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row>
    <row r="87" spans="1:53">
      <c r="A87" s="128"/>
      <c r="B87" s="199" t="s">
        <v>238</v>
      </c>
      <c r="C87" s="200"/>
      <c r="D87" s="203" t="s">
        <v>225</v>
      </c>
      <c r="E87" s="203"/>
      <c r="F87" s="203"/>
      <c r="G87" s="91"/>
      <c r="H87" s="100"/>
      <c r="I87" s="100"/>
      <c r="J87" s="100"/>
      <c r="K87" s="100"/>
      <c r="L87" s="91"/>
      <c r="M87" s="100"/>
      <c r="N87" s="100"/>
      <c r="O87" s="100"/>
      <c r="P87" s="100"/>
      <c r="Q87" s="91"/>
      <c r="R87" s="100"/>
      <c r="S87" s="100"/>
      <c r="T87" s="100"/>
      <c r="U87" s="100"/>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row>
    <row r="88" spans="1:53">
      <c r="A88" s="128"/>
      <c r="B88" s="201"/>
      <c r="C88" s="202"/>
      <c r="D88" s="203"/>
      <c r="E88" s="203"/>
      <c r="F88" s="203"/>
      <c r="G88" s="101"/>
      <c r="H88" s="101"/>
      <c r="I88" s="101"/>
      <c r="J88" s="101"/>
      <c r="K88" s="101"/>
      <c r="L88" s="101"/>
      <c r="M88" s="101"/>
      <c r="N88" s="101"/>
      <c r="O88" s="101"/>
      <c r="P88" s="101"/>
      <c r="Q88" s="101"/>
      <c r="R88" s="101"/>
      <c r="S88" s="101"/>
      <c r="T88" s="101"/>
      <c r="U88" s="101"/>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row>
    <row r="89" spans="1:53" ht="136.5" customHeight="1">
      <c r="A89" s="128"/>
      <c r="B89" s="431" t="s">
        <v>198</v>
      </c>
      <c r="C89" s="431"/>
      <c r="D89" s="428" t="s">
        <v>239</v>
      </c>
      <c r="E89" s="429"/>
      <c r="F89" s="429"/>
      <c r="G89" s="429"/>
      <c r="H89" s="429"/>
      <c r="I89" s="429"/>
      <c r="J89" s="429"/>
      <c r="K89" s="429"/>
      <c r="L89" s="429"/>
      <c r="M89" s="429"/>
      <c r="N89" s="429"/>
      <c r="O89" s="429"/>
      <c r="P89" s="429"/>
      <c r="Q89" s="429"/>
      <c r="R89" s="429"/>
      <c r="S89" s="429"/>
      <c r="T89" s="429"/>
      <c r="U89" s="430"/>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row>
    <row r="90" spans="1:53" ht="21" customHeight="1">
      <c r="A90" s="128"/>
      <c r="B90" s="204" t="s">
        <v>125</v>
      </c>
      <c r="C90" s="205"/>
      <c r="D90" s="205"/>
      <c r="E90" s="205"/>
      <c r="F90" s="205"/>
      <c r="G90" s="205"/>
      <c r="H90" s="205"/>
      <c r="I90" s="205"/>
      <c r="J90" s="205"/>
      <c r="K90" s="205"/>
      <c r="L90" s="205"/>
      <c r="M90" s="205"/>
      <c r="N90" s="205"/>
      <c r="O90" s="205"/>
      <c r="P90" s="205"/>
      <c r="Q90" s="205"/>
      <c r="R90" s="205"/>
      <c r="S90" s="205"/>
      <c r="T90" s="205"/>
      <c r="U90" s="206"/>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row>
    <row r="91" spans="1:53" ht="15" customHeight="1">
      <c r="A91" s="128"/>
      <c r="B91" s="79">
        <v>1</v>
      </c>
      <c r="C91" s="194" t="s">
        <v>240</v>
      </c>
      <c r="D91" s="194"/>
      <c r="E91" s="194"/>
      <c r="F91" s="194"/>
      <c r="G91" s="194"/>
      <c r="H91" s="194"/>
      <c r="I91" s="194"/>
      <c r="J91" s="194"/>
      <c r="K91" s="194"/>
      <c r="L91" s="194"/>
      <c r="M91" s="194"/>
      <c r="N91" s="194"/>
      <c r="O91" s="194"/>
      <c r="P91" s="194"/>
      <c r="Q91" s="194"/>
      <c r="R91" s="194"/>
      <c r="S91" s="194"/>
      <c r="T91" s="194"/>
      <c r="U91" s="194"/>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BA91" s="106" t="str">
        <f>C91</f>
        <v>Ecofys (2014). Warmteladder. Available at: https://www.ecofys.com/files/files/ecofys-2014-warmteladder.pdf</v>
      </c>
    </row>
    <row r="92" spans="1:53" ht="15" customHeight="1">
      <c r="A92" s="128"/>
      <c r="B92" s="79">
        <v>2</v>
      </c>
      <c r="C92" s="194" t="s">
        <v>241</v>
      </c>
      <c r="D92" s="194"/>
      <c r="E92" s="194"/>
      <c r="F92" s="194"/>
      <c r="G92" s="194"/>
      <c r="H92" s="194"/>
      <c r="I92" s="194"/>
      <c r="J92" s="194"/>
      <c r="K92" s="194"/>
      <c r="L92" s="194"/>
      <c r="M92" s="194"/>
      <c r="N92" s="194"/>
      <c r="O92" s="194"/>
      <c r="P92" s="194"/>
      <c r="Q92" s="194"/>
      <c r="R92" s="194"/>
      <c r="S92" s="194"/>
      <c r="T92" s="194"/>
      <c r="U92" s="194"/>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BA92" s="106" t="str">
        <f t="shared" ref="BA92:BA101" si="0">C92</f>
        <v>IEA (2015). Projected Costs of Generating Electricity 2015 Edition</v>
      </c>
    </row>
    <row r="93" spans="1:53" ht="15" customHeight="1">
      <c r="A93" s="128"/>
      <c r="B93" s="79">
        <v>3</v>
      </c>
      <c r="C93" s="194" t="s">
        <v>242</v>
      </c>
      <c r="D93" s="194"/>
      <c r="E93" s="194"/>
      <c r="F93" s="194"/>
      <c r="G93" s="194"/>
      <c r="H93" s="194"/>
      <c r="I93" s="194"/>
      <c r="J93" s="194"/>
      <c r="K93" s="194"/>
      <c r="L93" s="194"/>
      <c r="M93" s="194"/>
      <c r="N93" s="194"/>
      <c r="O93" s="194"/>
      <c r="P93" s="194"/>
      <c r="Q93" s="194"/>
      <c r="R93" s="194"/>
      <c r="S93" s="194"/>
      <c r="T93" s="194"/>
      <c r="U93" s="194"/>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BA93" s="106" t="str">
        <f t="shared" si="0"/>
        <v xml:space="preserve">ETRI (2014). Carlsson J, Energy Technology Reference Indicator projections for 2010-2050, 2014 Edition, EUR 26950 EN, Publications Office of the European Union, Luxembourg, 2014, ISBN 978-92-79-44403-6, doi: 10.2790/057687, JRC92496
https://setis.ec.europa.eu/related-jrc-activities/jrc-setis-reports/etri-2014 </v>
      </c>
    </row>
    <row r="94" spans="1:53" ht="15" customHeight="1">
      <c r="A94" s="128"/>
      <c r="B94" s="79">
        <v>4</v>
      </c>
      <c r="C94" s="194" t="s">
        <v>243</v>
      </c>
      <c r="D94" s="194"/>
      <c r="E94" s="194"/>
      <c r="F94" s="194"/>
      <c r="G94" s="194"/>
      <c r="H94" s="194"/>
      <c r="I94" s="194"/>
      <c r="J94" s="194"/>
      <c r="K94" s="194"/>
      <c r="L94" s="194"/>
      <c r="M94" s="194"/>
      <c r="N94" s="194"/>
      <c r="O94" s="194"/>
      <c r="P94" s="194"/>
      <c r="Q94" s="194"/>
      <c r="R94" s="194"/>
      <c r="S94" s="194"/>
      <c r="T94" s="194"/>
      <c r="U94" s="194"/>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BA94" s="106" t="str">
        <f t="shared" si="0"/>
        <v>IEA ETSAP (2010). Combined Heat and Power -  Technology Factsheet</v>
      </c>
    </row>
    <row r="95" spans="1:53" ht="15" customHeight="1">
      <c r="A95" s="128"/>
      <c r="B95" s="79">
        <v>5</v>
      </c>
      <c r="C95" s="194" t="s">
        <v>244</v>
      </c>
      <c r="D95" s="194"/>
      <c r="E95" s="194"/>
      <c r="F95" s="194"/>
      <c r="G95" s="194"/>
      <c r="H95" s="194"/>
      <c r="I95" s="194"/>
      <c r="J95" s="194"/>
      <c r="K95" s="194"/>
      <c r="L95" s="194"/>
      <c r="M95" s="194"/>
      <c r="N95" s="194"/>
      <c r="O95" s="194"/>
      <c r="P95" s="194"/>
      <c r="Q95" s="194"/>
      <c r="R95" s="194"/>
      <c r="S95" s="194"/>
      <c r="T95" s="194"/>
      <c r="U95" s="194"/>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BA95" s="106" t="str">
        <f t="shared" si="0"/>
        <v>Gasterra (2008). Warmte en Kracht: WarmteKrachtKoppeling: een overzicht en leidraad</v>
      </c>
    </row>
    <row r="96" spans="1:53" ht="15" customHeight="1">
      <c r="A96" s="128"/>
      <c r="B96" s="79">
        <v>6</v>
      </c>
      <c r="C96" s="194" t="s">
        <v>245</v>
      </c>
      <c r="D96" s="194"/>
      <c r="E96" s="194"/>
      <c r="F96" s="194"/>
      <c r="G96" s="194"/>
      <c r="H96" s="194"/>
      <c r="I96" s="194"/>
      <c r="J96" s="194"/>
      <c r="K96" s="194"/>
      <c r="L96" s="194"/>
      <c r="M96" s="194"/>
      <c r="N96" s="194"/>
      <c r="O96" s="194"/>
      <c r="P96" s="194"/>
      <c r="Q96" s="194"/>
      <c r="R96" s="194"/>
      <c r="S96" s="194"/>
      <c r="T96" s="194"/>
      <c r="U96" s="194"/>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BA96" s="106" t="str">
        <f t="shared" si="0"/>
        <v>PBL (2017). Functioneel ontwerp VESTA 3.0.</v>
      </c>
    </row>
    <row r="97" spans="1:53">
      <c r="A97" s="128"/>
      <c r="B97" s="79">
        <v>7</v>
      </c>
      <c r="C97" s="194" t="s">
        <v>246</v>
      </c>
      <c r="D97" s="194"/>
      <c r="E97" s="194"/>
      <c r="F97" s="194"/>
      <c r="G97" s="194"/>
      <c r="H97" s="194"/>
      <c r="I97" s="194"/>
      <c r="J97" s="194"/>
      <c r="K97" s="194"/>
      <c r="L97" s="194"/>
      <c r="M97" s="194"/>
      <c r="N97" s="194"/>
      <c r="O97" s="194"/>
      <c r="P97" s="194"/>
      <c r="Q97" s="194"/>
      <c r="R97" s="194"/>
      <c r="S97" s="194"/>
      <c r="T97" s="194"/>
      <c r="U97" s="194"/>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BA97" s="106" t="str">
        <f t="shared" si="0"/>
        <v>ECN (2011) Restwarmtebenutting, potentielen, besparing, alternatieven</v>
      </c>
    </row>
    <row r="98" spans="1:53" ht="19.5" customHeight="1">
      <c r="A98" s="128"/>
      <c r="B98" s="79">
        <v>8</v>
      </c>
      <c r="C98" s="194" t="s">
        <v>247</v>
      </c>
      <c r="D98" s="194"/>
      <c r="E98" s="194"/>
      <c r="F98" s="194"/>
      <c r="G98" s="194"/>
      <c r="H98" s="194"/>
      <c r="I98" s="194"/>
      <c r="J98" s="194"/>
      <c r="K98" s="194"/>
      <c r="L98" s="194"/>
      <c r="M98" s="194"/>
      <c r="N98" s="194"/>
      <c r="O98" s="194"/>
      <c r="P98" s="194"/>
      <c r="Q98" s="194"/>
      <c r="R98" s="194"/>
      <c r="S98" s="194"/>
      <c r="T98" s="194"/>
      <c r="U98" s="194"/>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BA98" s="106" t="str">
        <f t="shared" si="0"/>
        <v xml:space="preserve">ECN (2010). Kolencentrales Eemshaven Dwingende redenen openbaar belang Antwoorden op vragen van het Ministerie van EL&amp;I. 
</v>
      </c>
    </row>
    <row r="99" spans="1:53" ht="15" customHeight="1">
      <c r="A99" s="128"/>
      <c r="B99" s="79">
        <v>9</v>
      </c>
      <c r="C99" s="195" t="s">
        <v>248</v>
      </c>
      <c r="D99" s="196"/>
      <c r="E99" s="196"/>
      <c r="F99" s="196"/>
      <c r="G99" s="196"/>
      <c r="H99" s="196"/>
      <c r="I99" s="196"/>
      <c r="J99" s="196"/>
      <c r="K99" s="196"/>
      <c r="L99" s="196"/>
      <c r="M99" s="196"/>
      <c r="N99" s="196"/>
      <c r="O99" s="196"/>
      <c r="P99" s="196"/>
      <c r="Q99" s="196"/>
      <c r="R99" s="196"/>
      <c r="S99" s="196"/>
      <c r="T99" s="196"/>
      <c r="U99" s="197"/>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BA99" s="106" t="str">
        <f t="shared" si="0"/>
        <v>ECN (2017a). Monitoring Warmte 2015</v>
      </c>
    </row>
    <row r="100" spans="1:53" ht="15" customHeight="1">
      <c r="A100" s="128"/>
      <c r="B100" s="79">
        <v>10</v>
      </c>
      <c r="C100" s="194" t="s">
        <v>249</v>
      </c>
      <c r="D100" s="194"/>
      <c r="E100" s="194"/>
      <c r="F100" s="194"/>
      <c r="G100" s="194"/>
      <c r="H100" s="194"/>
      <c r="I100" s="194"/>
      <c r="J100" s="194"/>
      <c r="K100" s="194"/>
      <c r="L100" s="194"/>
      <c r="M100" s="194"/>
      <c r="N100" s="194"/>
      <c r="O100" s="194"/>
      <c r="P100" s="194"/>
      <c r="Q100" s="194"/>
      <c r="R100" s="194"/>
      <c r="S100" s="194"/>
      <c r="T100" s="194"/>
      <c r="U100" s="194"/>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BA100" s="106" t="str">
        <f t="shared" si="0"/>
        <v xml:space="preserve">ECN (2017b). Nationale Energieverkenning 2017
</v>
      </c>
    </row>
    <row r="101" spans="1:53" ht="30">
      <c r="A101" s="128"/>
      <c r="B101" s="198" t="s">
        <v>250</v>
      </c>
      <c r="C101" s="194" t="s">
        <v>251</v>
      </c>
      <c r="D101" s="194"/>
      <c r="E101" s="194"/>
      <c r="F101" s="194"/>
      <c r="G101" s="194"/>
      <c r="H101" s="194"/>
      <c r="I101" s="194"/>
      <c r="J101" s="194"/>
      <c r="K101" s="194"/>
      <c r="L101" s="194"/>
      <c r="M101" s="194"/>
      <c r="N101" s="194"/>
      <c r="O101" s="194"/>
      <c r="P101" s="194"/>
      <c r="Q101" s="194"/>
      <c r="R101" s="194"/>
      <c r="S101" s="194"/>
      <c r="T101" s="194"/>
      <c r="U101" s="194"/>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BA101" s="106" t="str">
        <f t="shared" si="0"/>
        <v xml:space="preserve">ECN (2019). Monitoring Warmte 2017
</v>
      </c>
    </row>
    <row r="102" spans="1:53">
      <c r="A102" s="128"/>
      <c r="B102" s="198"/>
      <c r="C102" s="194"/>
      <c r="D102" s="194"/>
      <c r="E102" s="194"/>
      <c r="F102" s="194"/>
      <c r="G102" s="194"/>
      <c r="H102" s="194"/>
      <c r="I102" s="194"/>
      <c r="J102" s="194"/>
      <c r="K102" s="194"/>
      <c r="L102" s="194"/>
      <c r="M102" s="194"/>
      <c r="N102" s="194"/>
      <c r="O102" s="194"/>
      <c r="P102" s="194"/>
      <c r="Q102" s="194"/>
      <c r="R102" s="194"/>
      <c r="S102" s="194"/>
      <c r="T102" s="194"/>
      <c r="U102" s="194"/>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row>
    <row r="103" spans="1:53">
      <c r="A103" s="128"/>
      <c r="B103" s="198"/>
      <c r="C103" s="194"/>
      <c r="D103" s="194"/>
      <c r="E103" s="194"/>
      <c r="F103" s="194"/>
      <c r="G103" s="194"/>
      <c r="H103" s="194"/>
      <c r="I103" s="194"/>
      <c r="J103" s="194"/>
      <c r="K103" s="194"/>
      <c r="L103" s="194"/>
      <c r="M103" s="194"/>
      <c r="N103" s="194"/>
      <c r="O103" s="194"/>
      <c r="P103" s="194"/>
      <c r="Q103" s="194"/>
      <c r="R103" s="194"/>
      <c r="S103" s="194"/>
      <c r="T103" s="194"/>
      <c r="U103" s="194"/>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row>
  </sheetData>
  <mergeCells count="147">
    <mergeCell ref="B101:B103"/>
    <mergeCell ref="D24:E25"/>
    <mergeCell ref="F24:F25"/>
    <mergeCell ref="C94:U94"/>
    <mergeCell ref="C95:U95"/>
    <mergeCell ref="C96:U96"/>
    <mergeCell ref="C97:U97"/>
    <mergeCell ref="C98:U98"/>
    <mergeCell ref="C91:U91"/>
    <mergeCell ref="C92:U92"/>
    <mergeCell ref="C93:U93"/>
    <mergeCell ref="D79:F80"/>
    <mergeCell ref="B78:U78"/>
    <mergeCell ref="B90:U90"/>
    <mergeCell ref="B66:U66"/>
    <mergeCell ref="D67:E68"/>
    <mergeCell ref="F67:F68"/>
    <mergeCell ref="B67:C76"/>
    <mergeCell ref="D77:U77"/>
    <mergeCell ref="D57:U57"/>
    <mergeCell ref="B58:U58"/>
    <mergeCell ref="G59:K59"/>
    <mergeCell ref="L59:P59"/>
    <mergeCell ref="B79:C80"/>
    <mergeCell ref="B4:K4"/>
    <mergeCell ref="B14:K14"/>
    <mergeCell ref="D5:K5"/>
    <mergeCell ref="D6:K6"/>
    <mergeCell ref="D7:K7"/>
    <mergeCell ref="D8:K8"/>
    <mergeCell ref="D9:K9"/>
    <mergeCell ref="D10:K10"/>
    <mergeCell ref="D11:K11"/>
    <mergeCell ref="D12:K12"/>
    <mergeCell ref="D13:K13"/>
    <mergeCell ref="B5:C5"/>
    <mergeCell ref="B12:C13"/>
    <mergeCell ref="B6:C6"/>
    <mergeCell ref="B11:C11"/>
    <mergeCell ref="B9:C9"/>
    <mergeCell ref="B10:C10"/>
    <mergeCell ref="B7:C8"/>
    <mergeCell ref="D65:U65"/>
    <mergeCell ref="B77:C77"/>
    <mergeCell ref="D75:E76"/>
    <mergeCell ref="F75:F76"/>
    <mergeCell ref="D73:E74"/>
    <mergeCell ref="F73:F74"/>
    <mergeCell ref="D71:E72"/>
    <mergeCell ref="F71:F72"/>
    <mergeCell ref="D69:E70"/>
    <mergeCell ref="B65:C65"/>
    <mergeCell ref="B33:C33"/>
    <mergeCell ref="D18:F19"/>
    <mergeCell ref="D59:E60"/>
    <mergeCell ref="F59:F60"/>
    <mergeCell ref="B18:C19"/>
    <mergeCell ref="B37:C38"/>
    <mergeCell ref="B39:C40"/>
    <mergeCell ref="B41:C42"/>
    <mergeCell ref="B43:C44"/>
    <mergeCell ref="B34:U34"/>
    <mergeCell ref="D30:K30"/>
    <mergeCell ref="D27:K27"/>
    <mergeCell ref="G20:K20"/>
    <mergeCell ref="Q20:U20"/>
    <mergeCell ref="B21:C23"/>
    <mergeCell ref="D21:E23"/>
    <mergeCell ref="F21:F23"/>
    <mergeCell ref="B20:C20"/>
    <mergeCell ref="D20:E20"/>
    <mergeCell ref="L20:P20"/>
    <mergeCell ref="D28:K28"/>
    <mergeCell ref="D29:K29"/>
    <mergeCell ref="B28:C28"/>
    <mergeCell ref="B29:C29"/>
    <mergeCell ref="D63:E64"/>
    <mergeCell ref="F63:F64"/>
    <mergeCell ref="B47:C48"/>
    <mergeCell ref="B49:C56"/>
    <mergeCell ref="C101:U103"/>
    <mergeCell ref="F69:F70"/>
    <mergeCell ref="D15:K16"/>
    <mergeCell ref="B17:C17"/>
    <mergeCell ref="D17:F17"/>
    <mergeCell ref="B15:C16"/>
    <mergeCell ref="B32:C32"/>
    <mergeCell ref="B30:C30"/>
    <mergeCell ref="B27:C27"/>
    <mergeCell ref="B24:C25"/>
    <mergeCell ref="Q59:U59"/>
    <mergeCell ref="D61:E62"/>
    <mergeCell ref="F61:F62"/>
    <mergeCell ref="B57:C57"/>
    <mergeCell ref="Q47:U47"/>
    <mergeCell ref="D49:E50"/>
    <mergeCell ref="F49:F50"/>
    <mergeCell ref="D51:E52"/>
    <mergeCell ref="B45:C45"/>
    <mergeCell ref="G47:K47"/>
    <mergeCell ref="L47:P47"/>
    <mergeCell ref="B46:U46"/>
    <mergeCell ref="Q35:U35"/>
    <mergeCell ref="G35:K35"/>
    <mergeCell ref="L35:P35"/>
    <mergeCell ref="F51:F52"/>
    <mergeCell ref="D53:E54"/>
    <mergeCell ref="F53:F54"/>
    <mergeCell ref="D55:E56"/>
    <mergeCell ref="D45:U45"/>
    <mergeCell ref="B35:F36"/>
    <mergeCell ref="D37:D38"/>
    <mergeCell ref="E37:F38"/>
    <mergeCell ref="C100:U100"/>
    <mergeCell ref="B31:C31"/>
    <mergeCell ref="F55:F56"/>
    <mergeCell ref="D26:K26"/>
    <mergeCell ref="D31:K31"/>
    <mergeCell ref="D32:K32"/>
    <mergeCell ref="D33:K33"/>
    <mergeCell ref="F47:F48"/>
    <mergeCell ref="D47:E48"/>
    <mergeCell ref="G67:K67"/>
    <mergeCell ref="L67:P67"/>
    <mergeCell ref="Q67:U67"/>
    <mergeCell ref="G79:K79"/>
    <mergeCell ref="L79:P79"/>
    <mergeCell ref="Q79:U79"/>
    <mergeCell ref="B26:C26"/>
    <mergeCell ref="D39:D40"/>
    <mergeCell ref="E39:F40"/>
    <mergeCell ref="D41:D42"/>
    <mergeCell ref="E41:F42"/>
    <mergeCell ref="D43:D44"/>
    <mergeCell ref="E43:F44"/>
    <mergeCell ref="C99:U99"/>
    <mergeCell ref="B59:C64"/>
    <mergeCell ref="B89:C89"/>
    <mergeCell ref="D89:U89"/>
    <mergeCell ref="D81:F82"/>
    <mergeCell ref="D83:F84"/>
    <mergeCell ref="D85:F86"/>
    <mergeCell ref="D87:F88"/>
    <mergeCell ref="B81:C82"/>
    <mergeCell ref="B83:C84"/>
    <mergeCell ref="B85:C86"/>
    <mergeCell ref="B87:C88"/>
  </mergeCells>
  <conditionalFormatting sqref="D7">
    <cfRule type="containsText" dxfId="425" priority="1077" operator="containsText" text="Please select">
      <formula>NOT(ISERROR(SEARCH("Please select",D7)))</formula>
    </cfRule>
  </conditionalFormatting>
  <conditionalFormatting sqref="D8 L8:O8">
    <cfRule type="containsText" dxfId="424" priority="1076" operator="containsText" text="Other (specify here)">
      <formula>NOT(ISERROR(SEARCH("Other (specify here)",D8)))</formula>
    </cfRule>
  </conditionalFormatting>
  <conditionalFormatting sqref="D9">
    <cfRule type="containsText" dxfId="423" priority="1075" operator="containsText" text="Please select">
      <formula>NOT(ISERROR(SEARCH("Please select",D9)))</formula>
    </cfRule>
  </conditionalFormatting>
  <conditionalFormatting sqref="L10:O10">
    <cfRule type="containsText" dxfId="422" priority="1074" operator="containsText" text="Specify here">
      <formula>NOT(ISERROR(SEARCH("Specify here",L10)))</formula>
    </cfRule>
  </conditionalFormatting>
  <conditionalFormatting sqref="D11 M11 O11">
    <cfRule type="containsText" dxfId="421" priority="1073" operator="containsText" text="Specify here">
      <formula>NOT(ISERROR(SEARCH("Specify here",D11)))</formula>
    </cfRule>
  </conditionalFormatting>
  <conditionalFormatting sqref="L6:O6">
    <cfRule type="containsText" dxfId="420" priority="1072" operator="containsText" text="DD-MM-YYYY">
      <formula>NOT(ISERROR(SEARCH("DD-MM-YYYY",L6)))</formula>
    </cfRule>
  </conditionalFormatting>
  <conditionalFormatting sqref="D12 M12:O12">
    <cfRule type="containsText" dxfId="419" priority="1069" operator="containsText" text="Select the observed or expected TRL level in 2020">
      <formula>NOT(ISERROR(SEARCH("Select the observed or expected TRL level in 2020",D12)))</formula>
    </cfRule>
    <cfRule type="containsText" dxfId="418" priority="1071" operator="containsText" text="Specify here the observed or expected TRL level in 2020">
      <formula>NOT(ISERROR(SEARCH("Specify here the observed or expected TRL level in 2020",D12)))</formula>
    </cfRule>
  </conditionalFormatting>
  <conditionalFormatting sqref="D13 L13:O13">
    <cfRule type="containsText" dxfId="417" priority="1070" operator="containsText" text="Explain here">
      <formula>NOT(ISERROR(SEARCH("Explain here",D13)))</formula>
    </cfRule>
  </conditionalFormatting>
  <conditionalFormatting sqref="D32 D30">
    <cfRule type="containsText" dxfId="416" priority="1068" operator="containsText" text="Please select">
      <formula>NOT(ISERROR(SEARCH("Please select",D30)))</formula>
    </cfRule>
  </conditionalFormatting>
  <conditionalFormatting sqref="D30 L30:O30">
    <cfRule type="containsText" dxfId="415" priority="1064" operator="containsText" text="Specify here">
      <formula>NOT(ISERROR(SEARCH("Specify here",D30)))</formula>
    </cfRule>
  </conditionalFormatting>
  <conditionalFormatting sqref="L27:O28">
    <cfRule type="containsText" dxfId="414" priority="1063" operator="containsText" text="Specify here">
      <formula>NOT(ISERROR(SEARCH("Specify here",L27)))</formula>
    </cfRule>
  </conditionalFormatting>
  <conditionalFormatting sqref="L26:O28">
    <cfRule type="containsText" dxfId="413" priority="1062" operator="containsText" text="Specify here">
      <formula>NOT(ISERROR(SEARCH("Specify here",L26)))</formula>
    </cfRule>
  </conditionalFormatting>
  <conditionalFormatting sqref="L31:O31">
    <cfRule type="containsText" dxfId="412" priority="1061" operator="containsText" text="Specify here">
      <formula>NOT(ISERROR(SEARCH("Specify here",L31)))</formula>
    </cfRule>
  </conditionalFormatting>
  <conditionalFormatting sqref="D33 L33:O33">
    <cfRule type="containsText" dxfId="411" priority="1060"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L5:O5">
    <cfRule type="containsText" dxfId="410" priority="1057" operator="containsText" text="Specify technology option name here">
      <formula>NOT(ISERROR(SEARCH("Specify technology option name here",L5)))</formula>
    </cfRule>
  </conditionalFormatting>
  <conditionalFormatting sqref="D18">
    <cfRule type="containsText" dxfId="409" priority="1055" operator="containsText" text="Select Functional Unit above">
      <formula>NOT(ISERROR(SEARCH("Select Functional Unit above",D18)))</formula>
    </cfRule>
  </conditionalFormatting>
  <conditionalFormatting sqref="D49">
    <cfRule type="containsText" dxfId="408" priority="1026" operator="containsText" text="Select">
      <formula>NOT(ISERROR(SEARCH("Select",D49)))</formula>
    </cfRule>
  </conditionalFormatting>
  <conditionalFormatting sqref="D45">
    <cfRule type="containsText" dxfId="407" priority="1036" operator="containsText" text="Explain here (e.g. other costs)">
      <formula>NOT(ISERROR(SEARCH("Explain here (e.g. other costs)",D45)))</formula>
    </cfRule>
  </conditionalFormatting>
  <conditionalFormatting sqref="D71">
    <cfRule type="containsText" dxfId="406" priority="1008" operator="containsText" text="Select">
      <formula>NOT(ISERROR(SEARCH("Select",D71)))</formula>
    </cfRule>
  </conditionalFormatting>
  <conditionalFormatting sqref="D73">
    <cfRule type="containsText" dxfId="405" priority="1007" operator="containsText" text="Select">
      <formula>NOT(ISERROR(SEARCH("Select",D73)))</formula>
    </cfRule>
  </conditionalFormatting>
  <conditionalFormatting sqref="D51">
    <cfRule type="containsText" dxfId="404" priority="1025" operator="containsText" text="Select">
      <formula>NOT(ISERROR(SEARCH("Select",D51)))</formula>
    </cfRule>
  </conditionalFormatting>
  <conditionalFormatting sqref="D75">
    <cfRule type="containsText" dxfId="403" priority="1006" operator="containsText" text="Select">
      <formula>NOT(ISERROR(SEARCH("Select",D75)))</formula>
    </cfRule>
  </conditionalFormatting>
  <conditionalFormatting sqref="D53">
    <cfRule type="containsText" dxfId="402" priority="1024" operator="containsText" text="Select">
      <formula>NOT(ISERROR(SEARCH("Select",D53)))</formula>
    </cfRule>
  </conditionalFormatting>
  <conditionalFormatting sqref="D55">
    <cfRule type="containsText" dxfId="401" priority="1023" operator="containsText" text="Select">
      <formula>NOT(ISERROR(SEARCH("Select",D55)))</formula>
    </cfRule>
  </conditionalFormatting>
  <conditionalFormatting sqref="F49:F56">
    <cfRule type="containsText" dxfId="400" priority="1022" operator="containsText" text="Please select">
      <formula>NOT(ISERROR(SEARCH("Please select",F49)))</formula>
    </cfRule>
  </conditionalFormatting>
  <conditionalFormatting sqref="D57">
    <cfRule type="containsText" dxfId="399" priority="1021" operator="containsText" text="Explain here (e.g. flexible in and out)">
      <formula>NOT(ISERROR(SEARCH("Explain here (e.g. flexible in and out)",D57)))</formula>
    </cfRule>
  </conditionalFormatting>
  <conditionalFormatting sqref="D61">
    <cfRule type="containsText" dxfId="398" priority="1012" operator="containsText" text="Select">
      <formula>NOT(ISERROR(SEARCH("Select",D61)))</formula>
    </cfRule>
  </conditionalFormatting>
  <conditionalFormatting sqref="D65">
    <cfRule type="containsText" dxfId="397" priority="1010" operator="containsText" text="Explain here">
      <formula>NOT(ISERROR(SEARCH("Explain here",D65)))</formula>
    </cfRule>
  </conditionalFormatting>
  <conditionalFormatting sqref="D69">
    <cfRule type="containsText" dxfId="396" priority="1009" operator="containsText" text="Select">
      <formula>NOT(ISERROR(SEARCH("Select",D69)))</formula>
    </cfRule>
  </conditionalFormatting>
  <conditionalFormatting sqref="F69:F76">
    <cfRule type="containsText" dxfId="395" priority="1005" operator="containsText" text="Please select">
      <formula>NOT(ISERROR(SEARCH("Please select",F69)))</formula>
    </cfRule>
  </conditionalFormatting>
  <conditionalFormatting sqref="D77">
    <cfRule type="containsText" dxfId="394" priority="1004" operator="containsText" text="Explain here">
      <formula>NOT(ISERROR(SEARCH("Explain here",D77)))</formula>
    </cfRule>
  </conditionalFormatting>
  <conditionalFormatting sqref="D81">
    <cfRule type="containsText" dxfId="393" priority="997" operator="containsText" text="Specify here">
      <formula>NOT(ISERROR(SEARCH("Specify here",D81)))</formula>
    </cfRule>
  </conditionalFormatting>
  <conditionalFormatting sqref="B91 B96 B93:B94 B98 B100">
    <cfRule type="containsText" dxfId="392" priority="996" operator="containsText" text="Specify data sources and references here">
      <formula>NOT(ISERROR(SEARCH("Specify data sources and references here",B91)))</formula>
    </cfRule>
  </conditionalFormatting>
  <conditionalFormatting sqref="D27">
    <cfRule type="containsText" dxfId="391" priority="995" operator="containsText" text="Please select">
      <formula>NOT(ISERROR(SEARCH("Please select",D27)))</formula>
    </cfRule>
  </conditionalFormatting>
  <conditionalFormatting sqref="D27">
    <cfRule type="containsText" dxfId="390" priority="994" operator="containsText" text="Specify here">
      <formula>NOT(ISERROR(SEARCH("Specify here",D27)))</formula>
    </cfRule>
  </conditionalFormatting>
  <conditionalFormatting sqref="D26:D27">
    <cfRule type="containsText" dxfId="389" priority="992" operator="containsText" text="Specify here (if not specified, value will be 1)">
      <formula>NOT(ISERROR(SEARCH("Specify here (if not specified, value will be 1)",D26)))</formula>
    </cfRule>
  </conditionalFormatting>
  <conditionalFormatting sqref="D31">
    <cfRule type="containsText" dxfId="388" priority="991" operator="containsText" text="Please select">
      <formula>NOT(ISERROR(SEARCH("Please select",D31)))</formula>
    </cfRule>
  </conditionalFormatting>
  <conditionalFormatting sqref="D31">
    <cfRule type="containsText" dxfId="387" priority="990" operator="containsText" text="Specify here">
      <formula>NOT(ISERROR(SEARCH("Specify here",D31)))</formula>
    </cfRule>
  </conditionalFormatting>
  <conditionalFormatting sqref="T38:U38 T44:U44 T42:U42 T40:U40">
    <cfRule type="containsText" dxfId="386" priority="987" operator="containsText" text="Reference">
      <formula>NOT(ISERROR(SEARCH("Reference",T38)))</formula>
    </cfRule>
  </conditionalFormatting>
  <conditionalFormatting sqref="E37">
    <cfRule type="containsText" dxfId="385" priority="986" operator="containsText" text="Please select 'Functional Unit' above">
      <formula>NOT(ISERROR(SEARCH("Please select 'Functional Unit' above",E37)))</formula>
    </cfRule>
  </conditionalFormatting>
  <conditionalFormatting sqref="O52:P52 O54:P54 O56:P56">
    <cfRule type="containsText" dxfId="384" priority="981" operator="containsText" text="Reference">
      <formula>NOT(ISERROR(SEARCH("Reference",O52)))</formula>
    </cfRule>
  </conditionalFormatting>
  <conditionalFormatting sqref="T52:U52 T54:U54 T56:U56">
    <cfRule type="containsText" dxfId="383" priority="980" operator="containsText" text="Reference">
      <formula>NOT(ISERROR(SEARCH("Reference",T52)))</formula>
    </cfRule>
  </conditionalFormatting>
  <conditionalFormatting sqref="H72:K72 H74:K74 H76:K76 H70:K70">
    <cfRule type="containsText" dxfId="382" priority="976" operator="containsText" text="Reference">
      <formula>NOT(ISERROR(SEARCH("Reference",H70)))</formula>
    </cfRule>
  </conditionalFormatting>
  <conditionalFormatting sqref="M72:P72 M74:P74 M76:P76 M70:P70">
    <cfRule type="containsText" dxfId="381" priority="975" operator="containsText" text="Reference">
      <formula>NOT(ISERROR(SEARCH("Reference",M70)))</formula>
    </cfRule>
  </conditionalFormatting>
  <conditionalFormatting sqref="R72:U72 R74:U74 R76:U76 R70:U70">
    <cfRule type="containsText" dxfId="380" priority="974" operator="containsText" text="Reference">
      <formula>NOT(ISERROR(SEARCH("Reference",R70)))</formula>
    </cfRule>
  </conditionalFormatting>
  <conditionalFormatting sqref="G64:K64 H62:K62">
    <cfRule type="containsText" dxfId="379" priority="973" operator="containsText" text="Reference">
      <formula>NOT(ISERROR(SEARCH("Reference",G62)))</formula>
    </cfRule>
  </conditionalFormatting>
  <conditionalFormatting sqref="L64:P64 M62:P62">
    <cfRule type="containsText" dxfId="378" priority="972" operator="containsText" text="Reference">
      <formula>NOT(ISERROR(SEARCH("Reference",L62)))</formula>
    </cfRule>
  </conditionalFormatting>
  <conditionalFormatting sqref="Q64:U64 R62:U62">
    <cfRule type="containsText" dxfId="377" priority="971" operator="containsText" text="Reference">
      <formula>NOT(ISERROR(SEARCH("Reference",Q62)))</formula>
    </cfRule>
  </conditionalFormatting>
  <conditionalFormatting sqref="J82:K82">
    <cfRule type="containsText" dxfId="376" priority="970" operator="containsText" text="Reference">
      <formula>NOT(ISERROR(SEARCH("Reference",J82)))</formula>
    </cfRule>
  </conditionalFormatting>
  <conditionalFormatting sqref="O82:P82">
    <cfRule type="containsText" dxfId="375" priority="969" operator="containsText" text="Reference">
      <formula>NOT(ISERROR(SEARCH("Reference",O82)))</formula>
    </cfRule>
  </conditionalFormatting>
  <conditionalFormatting sqref="T82:U82">
    <cfRule type="containsText" dxfId="374" priority="968" operator="containsText" text="Reference">
      <formula>NOT(ISERROR(SEARCH("Reference",T82)))</formula>
    </cfRule>
  </conditionalFormatting>
  <conditionalFormatting sqref="D10">
    <cfRule type="containsText" dxfId="373" priority="965" operator="containsText" text="Please select">
      <formula>NOT(ISERROR(SEARCH("Please select",D10)))</formula>
    </cfRule>
  </conditionalFormatting>
  <conditionalFormatting sqref="D15">
    <cfRule type="containsText" dxfId="372" priority="963" operator="containsText" text="Please select">
      <formula>NOT(ISERROR(SEARCH("Please select",D15)))</formula>
    </cfRule>
    <cfRule type="containsText" dxfId="371" priority="964" operator="containsText" text="Please select 'Functional Unit' above">
      <formula>NOT(ISERROR(SEARCH("Please select 'Functional Unit' above",D15)))</formula>
    </cfRule>
  </conditionalFormatting>
  <conditionalFormatting sqref="D21">
    <cfRule type="containsText" dxfId="370" priority="962" operator="containsText" text="Select Functional Unit above">
      <formula>NOT(ISERROR(SEARCH("Select Functional Unit above",D21)))</formula>
    </cfRule>
  </conditionalFormatting>
  <conditionalFormatting sqref="D28">
    <cfRule type="containsText" dxfId="369" priority="961" operator="containsText" text="Please select">
      <formula>NOT(ISERROR(SEARCH("Please select",D28)))</formula>
    </cfRule>
  </conditionalFormatting>
  <conditionalFormatting sqref="E39 E41 E43">
    <cfRule type="containsText" dxfId="368" priority="957" operator="containsText" text="Please select 'Functional Unit' above">
      <formula>NOT(ISERROR(SEARCH("Please select 'Functional Unit' above",E39)))</formula>
    </cfRule>
  </conditionalFormatting>
  <conditionalFormatting sqref="D63">
    <cfRule type="containsText" dxfId="367" priority="953" operator="containsText" text="Select">
      <formula>NOT(ISERROR(SEARCH("Select",D63)))</formula>
    </cfRule>
  </conditionalFormatting>
  <conditionalFormatting sqref="D61:F64">
    <cfRule type="containsText" dxfId="366" priority="952" operator="containsText" text="Specify here">
      <formula>NOT(ISERROR(SEARCH("Specify here",D61)))</formula>
    </cfRule>
  </conditionalFormatting>
  <conditionalFormatting sqref="G62">
    <cfRule type="containsText" dxfId="365" priority="951" operator="containsText" text="Reference">
      <formula>NOT(ISERROR(SEARCH("Reference",G62)))</formula>
    </cfRule>
  </conditionalFormatting>
  <conditionalFormatting sqref="L62">
    <cfRule type="containsText" dxfId="364" priority="950" operator="containsText" text="Reference">
      <formula>NOT(ISERROR(SEARCH("Reference",L62)))</formula>
    </cfRule>
  </conditionalFormatting>
  <conditionalFormatting sqref="Q62">
    <cfRule type="containsText" dxfId="363" priority="949" operator="containsText" text="Reference">
      <formula>NOT(ISERROR(SEARCH("Reference",Q62)))</formula>
    </cfRule>
  </conditionalFormatting>
  <conditionalFormatting sqref="G72 G74 G76 G70">
    <cfRule type="containsText" dxfId="362" priority="948" operator="containsText" text="Reference">
      <formula>NOT(ISERROR(SEARCH("Reference",G70)))</formula>
    </cfRule>
  </conditionalFormatting>
  <conditionalFormatting sqref="L72 L74 L76 L70">
    <cfRule type="containsText" dxfId="361" priority="947" operator="containsText" text="Reference">
      <formula>NOT(ISERROR(SEARCH("Reference",L70)))</formula>
    </cfRule>
  </conditionalFormatting>
  <conditionalFormatting sqref="Q72 Q74 Q76 Q70">
    <cfRule type="containsText" dxfId="360" priority="946" operator="containsText" text="Reference">
      <formula>NOT(ISERROR(SEARCH("Reference",Q70)))</formula>
    </cfRule>
  </conditionalFormatting>
  <conditionalFormatting sqref="B92 B95 B97 B99">
    <cfRule type="containsText" dxfId="359" priority="944" operator="containsText" text="Specify data sources and references here">
      <formula>NOT(ISERROR(SEARCH("Specify data sources and references here",B92)))</formula>
    </cfRule>
  </conditionalFormatting>
  <conditionalFormatting sqref="C101:U103">
    <cfRule type="containsText" dxfId="358" priority="942" operator="containsText" text="Add other sources here">
      <formula>NOT(ISERROR(SEARCH("Add other sources here",C101)))</formula>
    </cfRule>
  </conditionalFormatting>
  <conditionalFormatting sqref="D24">
    <cfRule type="containsText" dxfId="357" priority="940" operator="containsText" text="Select Functional Unit above">
      <formula>NOT(ISERROR(SEARCH("Select Functional Unit above",D24)))</formula>
    </cfRule>
  </conditionalFormatting>
  <conditionalFormatting sqref="F21">
    <cfRule type="containsText" dxfId="356" priority="939" operator="containsText" text="Please select the region">
      <formula>NOT(ISERROR(SEARCH("Please select the region",F21)))</formula>
    </cfRule>
  </conditionalFormatting>
  <conditionalFormatting sqref="F24:F25">
    <cfRule type="containsText" dxfId="355" priority="938" operator="containsText" text="Specify here the market">
      <formula>NOT(ISERROR(SEARCH("Specify here the market",F24)))</formula>
    </cfRule>
  </conditionalFormatting>
  <conditionalFormatting sqref="G23:K23">
    <cfRule type="containsText" dxfId="354" priority="936" operator="containsText" text="Reference">
      <formula>NOT(ISERROR(SEARCH("Reference",G23)))</formula>
    </cfRule>
  </conditionalFormatting>
  <conditionalFormatting sqref="G25:K25">
    <cfRule type="containsText" dxfId="353" priority="935" operator="containsText" text="Reference">
      <formula>NOT(ISERROR(SEARCH("Reference",G25)))</formula>
    </cfRule>
  </conditionalFormatting>
  <conditionalFormatting sqref="G62:U62 G64:U64 G70:U70 G72:U72 G74:U74 G76:U76 J82:K82 O82:P82 T82:U82 O52:P52 T52:U52 O56:P56 O54:P54 T54:U54 T56:U56 T38:U38 T40:U40 T42:U42 T44:U44">
    <cfRule type="containsText" dxfId="352" priority="934" operator="containsText" text="Reference">
      <formula>NOT(ISERROR(SEARCH("Reference",G38)))</formula>
    </cfRule>
  </conditionalFormatting>
  <conditionalFormatting sqref="M25:P25 L23:P23">
    <cfRule type="containsText" dxfId="351" priority="933" operator="containsText" text="Reference">
      <formula>NOT(ISERROR(SEARCH("Reference",L23)))</formula>
    </cfRule>
  </conditionalFormatting>
  <conditionalFormatting sqref="R25:U25 Q23:U23">
    <cfRule type="containsText" dxfId="350" priority="932" operator="containsText" text="Reference">
      <formula>NOT(ISERROR(SEARCH("Reference",Q23)))</formula>
    </cfRule>
  </conditionalFormatting>
  <conditionalFormatting sqref="L23:U23 M25:P25 R25:U25">
    <cfRule type="containsText" dxfId="349" priority="931" operator="containsText" text="Reference">
      <formula>NOT(ISERROR(SEARCH("Reference",L23)))</formula>
    </cfRule>
  </conditionalFormatting>
  <conditionalFormatting sqref="D29">
    <cfRule type="containsText" dxfId="348" priority="928" operator="containsText" text="Please select">
      <formula>NOT(ISERROR(SEARCH("Please select",D29)))</formula>
    </cfRule>
  </conditionalFormatting>
  <conditionalFormatting sqref="D29">
    <cfRule type="containsText" dxfId="347" priority="927" operator="containsText" text="Specify here">
      <formula>NOT(ISERROR(SEARCH("Specify here",D29)))</formula>
    </cfRule>
  </conditionalFormatting>
  <conditionalFormatting sqref="D89">
    <cfRule type="containsText" dxfId="346" priority="894" operator="containsText" text="Explain here">
      <formula>NOT(ISERROR(SEARCH("Explain here",D89)))</formula>
    </cfRule>
  </conditionalFormatting>
  <conditionalFormatting sqref="E41:F42">
    <cfRule type="containsText" dxfId="345" priority="890" operator="containsText" text="Please select">
      <formula>NOT(ISERROR(SEARCH("Please select",E41)))</formula>
    </cfRule>
  </conditionalFormatting>
  <conditionalFormatting sqref="D6">
    <cfRule type="containsText" dxfId="344" priority="889" operator="containsText" text="DD-MM-YYYY">
      <formula>NOT(ISERROR(SEARCH("DD-MM-YYYY",D6)))</formula>
    </cfRule>
  </conditionalFormatting>
  <conditionalFormatting sqref="D5">
    <cfRule type="containsText" dxfId="343" priority="888" operator="containsText" text="Please select">
      <formula>NOT(ISERROR(SEARCH("Please select",D5)))</formula>
    </cfRule>
  </conditionalFormatting>
  <conditionalFormatting sqref="D5">
    <cfRule type="containsText" dxfId="342" priority="887" operator="containsText" text="Specify here">
      <formula>NOT(ISERROR(SEARCH("Specify here",D5)))</formula>
    </cfRule>
  </conditionalFormatting>
  <conditionalFormatting sqref="Q25">
    <cfRule type="containsText" dxfId="341" priority="883" operator="containsText" text="Reference">
      <formula>NOT(ISERROR(SEARCH("Reference",Q25)))</formula>
    </cfRule>
  </conditionalFormatting>
  <conditionalFormatting sqref="Q25">
    <cfRule type="containsText" dxfId="340" priority="882" operator="containsText" text="Reference">
      <formula>NOT(ISERROR(SEARCH("Reference",Q25)))</formula>
    </cfRule>
  </conditionalFormatting>
  <conditionalFormatting sqref="L25">
    <cfRule type="containsText" dxfId="339" priority="881" operator="containsText" text="Reference">
      <formula>NOT(ISERROR(SEARCH("Reference",L25)))</formula>
    </cfRule>
  </conditionalFormatting>
  <conditionalFormatting sqref="L25">
    <cfRule type="containsText" dxfId="338" priority="880" operator="containsText" text="Reference">
      <formula>NOT(ISERROR(SEARCH("Reference",L25)))</formula>
    </cfRule>
  </conditionalFormatting>
  <conditionalFormatting sqref="G82">
    <cfRule type="containsText" dxfId="337" priority="879" operator="containsText" text="Reference">
      <formula>NOT(ISERROR(SEARCH("Reference",G82)))</formula>
    </cfRule>
  </conditionalFormatting>
  <conditionalFormatting sqref="G82">
    <cfRule type="containsText" dxfId="336" priority="878" operator="containsText" text="Reference">
      <formula>NOT(ISERROR(SEARCH("Reference",G82)))</formula>
    </cfRule>
  </conditionalFormatting>
  <conditionalFormatting sqref="B81">
    <cfRule type="containsText" dxfId="335" priority="877" operator="containsText" text="Add here">
      <formula>NOT(ISERROR(SEARCH("Add here",B81)))</formula>
    </cfRule>
  </conditionalFormatting>
  <conditionalFormatting sqref="C100:U100">
    <cfRule type="containsText" dxfId="334" priority="830" operator="containsText" text="Add other sources here">
      <formula>NOT(ISERROR(SEARCH("Add other sources here",C100)))</formula>
    </cfRule>
  </conditionalFormatting>
  <conditionalFormatting sqref="H82">
    <cfRule type="containsText" dxfId="333" priority="749" operator="containsText" text="Reference">
      <formula>NOT(ISERROR(SEARCH("Reference",H82)))</formula>
    </cfRule>
  </conditionalFormatting>
  <conditionalFormatting sqref="H82">
    <cfRule type="containsText" dxfId="332" priority="748" operator="containsText" text="Reference">
      <formula>NOT(ISERROR(SEARCH("Reference",H82)))</formula>
    </cfRule>
  </conditionalFormatting>
  <conditionalFormatting sqref="H82">
    <cfRule type="containsText" dxfId="331" priority="747" operator="containsText" text="Reference">
      <formula>NOT(ISERROR(SEARCH("Reference",H82)))</formula>
    </cfRule>
  </conditionalFormatting>
  <conditionalFormatting sqref="H82">
    <cfRule type="containsText" dxfId="330" priority="746" operator="containsText" text="Reference">
      <formula>NOT(ISERROR(SEARCH("Reference",H82)))</formula>
    </cfRule>
  </conditionalFormatting>
  <conditionalFormatting sqref="G82">
    <cfRule type="containsText" dxfId="329" priority="745" operator="containsText" text="Reference">
      <formula>NOT(ISERROR(SEARCH("Reference",G82)))</formula>
    </cfRule>
  </conditionalFormatting>
  <conditionalFormatting sqref="G82">
    <cfRule type="containsText" dxfId="328" priority="744" operator="containsText" text="Reference">
      <formula>NOT(ISERROR(SEARCH("Reference",G82)))</formula>
    </cfRule>
  </conditionalFormatting>
  <conditionalFormatting sqref="I82">
    <cfRule type="containsText" dxfId="327" priority="743" operator="containsText" text="Reference">
      <formula>NOT(ISERROR(SEARCH("Reference",I82)))</formula>
    </cfRule>
  </conditionalFormatting>
  <conditionalFormatting sqref="I82">
    <cfRule type="containsText" dxfId="326" priority="742" operator="containsText" text="Reference">
      <formula>NOT(ISERROR(SEARCH("Reference",I82)))</formula>
    </cfRule>
  </conditionalFormatting>
  <conditionalFormatting sqref="L82">
    <cfRule type="containsText" dxfId="325" priority="741" operator="containsText" text="Reference">
      <formula>NOT(ISERROR(SEARCH("Reference",L82)))</formula>
    </cfRule>
  </conditionalFormatting>
  <conditionalFormatting sqref="L82">
    <cfRule type="containsText" dxfId="324" priority="740" operator="containsText" text="Reference">
      <formula>NOT(ISERROR(SEARCH("Reference",L82)))</formula>
    </cfRule>
  </conditionalFormatting>
  <conditionalFormatting sqref="M82">
    <cfRule type="containsText" dxfId="323" priority="739" operator="containsText" text="Reference">
      <formula>NOT(ISERROR(SEARCH("Reference",M82)))</formula>
    </cfRule>
  </conditionalFormatting>
  <conditionalFormatting sqref="M82">
    <cfRule type="containsText" dxfId="322" priority="738" operator="containsText" text="Reference">
      <formula>NOT(ISERROR(SEARCH("Reference",M82)))</formula>
    </cfRule>
  </conditionalFormatting>
  <conditionalFormatting sqref="M82">
    <cfRule type="containsText" dxfId="321" priority="737" operator="containsText" text="Reference">
      <formula>NOT(ISERROR(SEARCH("Reference",M82)))</formula>
    </cfRule>
  </conditionalFormatting>
  <conditionalFormatting sqref="M82">
    <cfRule type="containsText" dxfId="320" priority="736" operator="containsText" text="Reference">
      <formula>NOT(ISERROR(SEARCH("Reference",M82)))</formula>
    </cfRule>
  </conditionalFormatting>
  <conditionalFormatting sqref="L82">
    <cfRule type="containsText" dxfId="319" priority="735" operator="containsText" text="Reference">
      <formula>NOT(ISERROR(SEARCH("Reference",L82)))</formula>
    </cfRule>
  </conditionalFormatting>
  <conditionalFormatting sqref="L82">
    <cfRule type="containsText" dxfId="318" priority="734" operator="containsText" text="Reference">
      <formula>NOT(ISERROR(SEARCH("Reference",L82)))</formula>
    </cfRule>
  </conditionalFormatting>
  <conditionalFormatting sqref="Q82">
    <cfRule type="containsText" dxfId="317" priority="733" operator="containsText" text="Reference">
      <formula>NOT(ISERROR(SEARCH("Reference",Q82)))</formula>
    </cfRule>
  </conditionalFormatting>
  <conditionalFormatting sqref="Q82">
    <cfRule type="containsText" dxfId="316" priority="732" operator="containsText" text="Reference">
      <formula>NOT(ISERROR(SEARCH("Reference",Q82)))</formula>
    </cfRule>
  </conditionalFormatting>
  <conditionalFormatting sqref="R82">
    <cfRule type="containsText" dxfId="315" priority="731" operator="containsText" text="Reference">
      <formula>NOT(ISERROR(SEARCH("Reference",R82)))</formula>
    </cfRule>
  </conditionalFormatting>
  <conditionalFormatting sqref="R82">
    <cfRule type="containsText" dxfId="314" priority="730" operator="containsText" text="Reference">
      <formula>NOT(ISERROR(SEARCH("Reference",R82)))</formula>
    </cfRule>
  </conditionalFormatting>
  <conditionalFormatting sqref="R82">
    <cfRule type="containsText" dxfId="313" priority="729" operator="containsText" text="Reference">
      <formula>NOT(ISERROR(SEARCH("Reference",R82)))</formula>
    </cfRule>
  </conditionalFormatting>
  <conditionalFormatting sqref="R82">
    <cfRule type="containsText" dxfId="312" priority="728" operator="containsText" text="Reference">
      <formula>NOT(ISERROR(SEARCH("Reference",R82)))</formula>
    </cfRule>
  </conditionalFormatting>
  <conditionalFormatting sqref="Q82">
    <cfRule type="containsText" dxfId="311" priority="727" operator="containsText" text="Reference">
      <formula>NOT(ISERROR(SEARCH("Reference",Q82)))</formula>
    </cfRule>
  </conditionalFormatting>
  <conditionalFormatting sqref="Q82">
    <cfRule type="containsText" dxfId="310" priority="726" operator="containsText" text="Reference">
      <formula>NOT(ISERROR(SEARCH("Reference",Q82)))</formula>
    </cfRule>
  </conditionalFormatting>
  <conditionalFormatting sqref="N82">
    <cfRule type="containsText" dxfId="309" priority="725" operator="containsText" text="Reference">
      <formula>NOT(ISERROR(SEARCH("Reference",N82)))</formula>
    </cfRule>
  </conditionalFormatting>
  <conditionalFormatting sqref="N82">
    <cfRule type="containsText" dxfId="308" priority="724" operator="containsText" text="Reference">
      <formula>NOT(ISERROR(SEARCH("Reference",N82)))</formula>
    </cfRule>
  </conditionalFormatting>
  <conditionalFormatting sqref="S82">
    <cfRule type="containsText" dxfId="307" priority="723" operator="containsText" text="Reference">
      <formula>NOT(ISERROR(SEARCH("Reference",S82)))</formula>
    </cfRule>
  </conditionalFormatting>
  <conditionalFormatting sqref="S82">
    <cfRule type="containsText" dxfId="306" priority="722" operator="containsText" text="Reference">
      <formula>NOT(ISERROR(SEARCH("Reference",S82)))</formula>
    </cfRule>
  </conditionalFormatting>
  <conditionalFormatting sqref="G38">
    <cfRule type="containsText" dxfId="305" priority="627" operator="containsText" text="Reference">
      <formula>NOT(ISERROR(SEARCH("Reference",G38)))</formula>
    </cfRule>
  </conditionalFormatting>
  <conditionalFormatting sqref="G38">
    <cfRule type="containsText" dxfId="304" priority="626" operator="containsText" text="Reference">
      <formula>NOT(ISERROR(SEARCH("Reference",G38)))</formula>
    </cfRule>
  </conditionalFormatting>
  <conditionalFormatting sqref="G42">
    <cfRule type="containsText" dxfId="303" priority="625" operator="containsText" text="Reference">
      <formula>NOT(ISERROR(SEARCH("Reference",G42)))</formula>
    </cfRule>
  </conditionalFormatting>
  <conditionalFormatting sqref="G42">
    <cfRule type="containsText" dxfId="302" priority="624" operator="containsText" text="Reference">
      <formula>NOT(ISERROR(SEARCH("Reference",G42)))</formula>
    </cfRule>
  </conditionalFormatting>
  <conditionalFormatting sqref="H40">
    <cfRule type="containsText" dxfId="301" priority="541" operator="containsText" text="Reference">
      <formula>NOT(ISERROR(SEARCH("Reference",H40)))</formula>
    </cfRule>
  </conditionalFormatting>
  <conditionalFormatting sqref="H40">
    <cfRule type="containsText" dxfId="300" priority="540" operator="containsText" text="Reference">
      <formula>NOT(ISERROR(SEARCH("Reference",H40)))</formula>
    </cfRule>
  </conditionalFormatting>
  <conditionalFormatting sqref="J40">
    <cfRule type="containsText" dxfId="299" priority="555" operator="containsText" text="Reference">
      <formula>NOT(ISERROR(SEARCH("Reference",J40)))</formula>
    </cfRule>
  </conditionalFormatting>
  <conditionalFormatting sqref="J40">
    <cfRule type="containsText" dxfId="298" priority="554" operator="containsText" text="Reference">
      <formula>NOT(ISERROR(SEARCH("Reference",J40)))</formula>
    </cfRule>
  </conditionalFormatting>
  <conditionalFormatting sqref="O42 O40 O44">
    <cfRule type="containsText" dxfId="297" priority="561" operator="containsText" text="Reference">
      <formula>NOT(ISERROR(SEARCH("Reference",O40)))</formula>
    </cfRule>
  </conditionalFormatting>
  <conditionalFormatting sqref="O42 O40 O44">
    <cfRule type="containsText" dxfId="296" priority="560" operator="containsText" text="Reference">
      <formula>NOT(ISERROR(SEARCH("Reference",O40)))</formula>
    </cfRule>
  </conditionalFormatting>
  <conditionalFormatting sqref="O39">
    <cfRule type="containsText" dxfId="295" priority="559" operator="containsText" text="Reference">
      <formula>NOT(ISERROR(SEARCH("Reference",O39)))</formula>
    </cfRule>
  </conditionalFormatting>
  <conditionalFormatting sqref="O39">
    <cfRule type="containsText" dxfId="294" priority="558" operator="containsText" text="Reference">
      <formula>NOT(ISERROR(SEARCH("Reference",O39)))</formula>
    </cfRule>
  </conditionalFormatting>
  <conditionalFormatting sqref="J38">
    <cfRule type="containsText" dxfId="293" priority="553" operator="containsText" text="Reference">
      <formula>NOT(ISERROR(SEARCH("Reference",J38)))</formula>
    </cfRule>
  </conditionalFormatting>
  <conditionalFormatting sqref="J38">
    <cfRule type="containsText" dxfId="292" priority="552" operator="containsText" text="Reference">
      <formula>NOT(ISERROR(SEARCH("Reference",J38)))</formula>
    </cfRule>
  </conditionalFormatting>
  <conditionalFormatting sqref="J42">
    <cfRule type="containsText" dxfId="291" priority="551" operator="containsText" text="Reference">
      <formula>NOT(ISERROR(SEARCH("Reference",J42)))</formula>
    </cfRule>
  </conditionalFormatting>
  <conditionalFormatting sqref="J42">
    <cfRule type="containsText" dxfId="290" priority="550" operator="containsText" text="Reference">
      <formula>NOT(ISERROR(SEARCH("Reference",J42)))</formula>
    </cfRule>
  </conditionalFormatting>
  <conditionalFormatting sqref="J44">
    <cfRule type="containsText" dxfId="289" priority="549" operator="containsText" text="Reference">
      <formula>NOT(ISERROR(SEARCH("Reference",J44)))</formula>
    </cfRule>
  </conditionalFormatting>
  <conditionalFormatting sqref="J44">
    <cfRule type="containsText" dxfId="288" priority="548" operator="containsText" text="Reference">
      <formula>NOT(ISERROR(SEARCH("Reference",J44)))</formula>
    </cfRule>
  </conditionalFormatting>
  <conditionalFormatting sqref="I40">
    <cfRule type="containsText" dxfId="287" priority="535" operator="containsText" text="Reference">
      <formula>NOT(ISERROR(SEARCH("Reference",I40)))</formula>
    </cfRule>
  </conditionalFormatting>
  <conditionalFormatting sqref="I40">
    <cfRule type="containsText" dxfId="286" priority="534" operator="containsText" text="Reference">
      <formula>NOT(ISERROR(SEARCH("Reference",I40)))</formula>
    </cfRule>
  </conditionalFormatting>
  <conditionalFormatting sqref="I39">
    <cfRule type="containsText" dxfId="285" priority="533" operator="containsText" text="Reference">
      <formula>NOT(ISERROR(SEARCH("Reference",I39)))</formula>
    </cfRule>
  </conditionalFormatting>
  <conditionalFormatting sqref="I39">
    <cfRule type="containsText" dxfId="284" priority="532" operator="containsText" text="Reference">
      <formula>NOT(ISERROR(SEARCH("Reference",I39)))</formula>
    </cfRule>
  </conditionalFormatting>
  <conditionalFormatting sqref="U50">
    <cfRule type="containsText" dxfId="283" priority="459" operator="containsText" text="Reference">
      <formula>NOT(ISERROR(SEARCH("Reference",U50)))</formula>
    </cfRule>
  </conditionalFormatting>
  <conditionalFormatting sqref="O50">
    <cfRule type="containsText" dxfId="282" priority="458" operator="containsText" text="Reference">
      <formula>NOT(ISERROR(SEARCH("Reference",O50)))</formula>
    </cfRule>
  </conditionalFormatting>
  <conditionalFormatting sqref="O38">
    <cfRule type="containsText" dxfId="281" priority="527" operator="containsText" text="Reference">
      <formula>NOT(ISERROR(SEARCH("Reference",O38)))</formula>
    </cfRule>
  </conditionalFormatting>
  <conditionalFormatting sqref="O38">
    <cfRule type="containsText" dxfId="280" priority="526" operator="containsText" text="Reference">
      <formula>NOT(ISERROR(SEARCH("Reference",O38)))</formula>
    </cfRule>
  </conditionalFormatting>
  <conditionalFormatting sqref="T50">
    <cfRule type="containsText" dxfId="279" priority="462" operator="containsText" text="Reference">
      <formula>NOT(ISERROR(SEARCH("Reference",T50)))</formula>
    </cfRule>
  </conditionalFormatting>
  <conditionalFormatting sqref="T50">
    <cfRule type="containsText" dxfId="278" priority="461" operator="containsText" text="Reference">
      <formula>NOT(ISERROR(SEARCH("Reference",T50)))</formula>
    </cfRule>
  </conditionalFormatting>
  <conditionalFormatting sqref="U50">
    <cfRule type="containsText" dxfId="277" priority="460" operator="containsText" text="Reference">
      <formula>NOT(ISERROR(SEARCH("Reference",U50)))</formula>
    </cfRule>
  </conditionalFormatting>
  <conditionalFormatting sqref="O50">
    <cfRule type="containsText" dxfId="276" priority="457" operator="containsText" text="Reference">
      <formula>NOT(ISERROR(SEARCH("Reference",O50)))</formula>
    </cfRule>
  </conditionalFormatting>
  <conditionalFormatting sqref="P50">
    <cfRule type="containsText" dxfId="275" priority="456" operator="containsText" text="Reference">
      <formula>NOT(ISERROR(SEARCH("Reference",P50)))</formula>
    </cfRule>
  </conditionalFormatting>
  <conditionalFormatting sqref="P50">
    <cfRule type="containsText" dxfId="274" priority="455" operator="containsText" text="Reference">
      <formula>NOT(ISERROR(SEARCH("Reference",P50)))</formula>
    </cfRule>
  </conditionalFormatting>
  <conditionalFormatting sqref="L38">
    <cfRule type="containsText" dxfId="273" priority="444" operator="containsText" text="Reference">
      <formula>NOT(ISERROR(SEARCH("Reference",L38)))</formula>
    </cfRule>
  </conditionalFormatting>
  <conditionalFormatting sqref="L38">
    <cfRule type="containsText" dxfId="272" priority="443" operator="containsText" text="Reference">
      <formula>NOT(ISERROR(SEARCH("Reference",L38)))</formula>
    </cfRule>
  </conditionalFormatting>
  <conditionalFormatting sqref="L42">
    <cfRule type="containsText" dxfId="271" priority="442" operator="containsText" text="Reference">
      <formula>NOT(ISERROR(SEARCH("Reference",L42)))</formula>
    </cfRule>
  </conditionalFormatting>
  <conditionalFormatting sqref="L42">
    <cfRule type="containsText" dxfId="270" priority="441" operator="containsText" text="Reference">
      <formula>NOT(ISERROR(SEARCH("Reference",L42)))</formula>
    </cfRule>
  </conditionalFormatting>
  <conditionalFormatting sqref="Q38">
    <cfRule type="containsText" dxfId="269" priority="440" operator="containsText" text="Reference">
      <formula>NOT(ISERROR(SEARCH("Reference",Q38)))</formula>
    </cfRule>
  </conditionalFormatting>
  <conditionalFormatting sqref="Q38">
    <cfRule type="containsText" dxfId="268" priority="439" operator="containsText" text="Reference">
      <formula>NOT(ISERROR(SEARCH("Reference",Q38)))</formula>
    </cfRule>
  </conditionalFormatting>
  <conditionalFormatting sqref="Q42">
    <cfRule type="containsText" dxfId="267" priority="438" operator="containsText" text="Reference">
      <formula>NOT(ISERROR(SEARCH("Reference",Q42)))</formula>
    </cfRule>
  </conditionalFormatting>
  <conditionalFormatting sqref="Q42">
    <cfRule type="containsText" dxfId="266" priority="437" operator="containsText" text="Reference">
      <formula>NOT(ISERROR(SEARCH("Reference",Q42)))</formula>
    </cfRule>
  </conditionalFormatting>
  <conditionalFormatting sqref="H88:K88 M88:P88 R88:U88">
    <cfRule type="containsText" dxfId="265" priority="397" operator="containsText" text="Reference">
      <formula>NOT(ISERROR(SEARCH("Reference",H88)))</formula>
    </cfRule>
  </conditionalFormatting>
  <conditionalFormatting sqref="H88:K88">
    <cfRule type="containsText" dxfId="264" priority="400" operator="containsText" text="Reference">
      <formula>NOT(ISERROR(SEARCH("Reference",H88)))</formula>
    </cfRule>
  </conditionalFormatting>
  <conditionalFormatting sqref="M88:P88">
    <cfRule type="containsText" dxfId="263" priority="399" operator="containsText" text="Reference">
      <formula>NOT(ISERROR(SEARCH("Reference",M88)))</formula>
    </cfRule>
  </conditionalFormatting>
  <conditionalFormatting sqref="R88:U88">
    <cfRule type="containsText" dxfId="262" priority="398" operator="containsText" text="Reference">
      <formula>NOT(ISERROR(SEARCH("Reference",R88)))</formula>
    </cfRule>
  </conditionalFormatting>
  <conditionalFormatting sqref="G88">
    <cfRule type="containsText" dxfId="261" priority="394" operator="containsText" text="Reference">
      <formula>NOT(ISERROR(SEARCH("Reference",G88)))</formula>
    </cfRule>
  </conditionalFormatting>
  <conditionalFormatting sqref="G88">
    <cfRule type="containsText" dxfId="260" priority="393" operator="containsText" text="Reference">
      <formula>NOT(ISERROR(SEARCH("Reference",G88)))</formula>
    </cfRule>
  </conditionalFormatting>
  <conditionalFormatting sqref="L88">
    <cfRule type="containsText" dxfId="259" priority="386" operator="containsText" text="Reference">
      <formula>NOT(ISERROR(SEARCH("Reference",L88)))</formula>
    </cfRule>
  </conditionalFormatting>
  <conditionalFormatting sqref="L88">
    <cfRule type="containsText" dxfId="258" priority="385" operator="containsText" text="Reference">
      <formula>NOT(ISERROR(SEARCH("Reference",L88)))</formula>
    </cfRule>
  </conditionalFormatting>
  <conditionalFormatting sqref="Q88">
    <cfRule type="containsText" dxfId="257" priority="384" operator="containsText" text="Reference">
      <formula>NOT(ISERROR(SEARCH("Reference",Q88)))</formula>
    </cfRule>
  </conditionalFormatting>
  <conditionalFormatting sqref="Q88">
    <cfRule type="containsText" dxfId="256" priority="383" operator="containsText" text="Reference">
      <formula>NOT(ISERROR(SEARCH("Reference",Q88)))</formula>
    </cfRule>
  </conditionalFormatting>
  <conditionalFormatting sqref="H19">
    <cfRule type="containsText" dxfId="255" priority="382" operator="containsText" text="Reference">
      <formula>NOT(ISERROR(SEARCH("Reference",H19)))</formula>
    </cfRule>
  </conditionalFormatting>
  <conditionalFormatting sqref="I19">
    <cfRule type="containsText" dxfId="254" priority="381" operator="containsText" text="Reference">
      <formula>NOT(ISERROR(SEARCH("Reference",I19)))</formula>
    </cfRule>
  </conditionalFormatting>
  <conditionalFormatting sqref="G19">
    <cfRule type="containsText" dxfId="253" priority="380" operator="containsText" text="Reference">
      <formula>NOT(ISERROR(SEARCH("Reference",G19)))</formula>
    </cfRule>
  </conditionalFormatting>
  <conditionalFormatting sqref="M42:N42">
    <cfRule type="containsText" dxfId="252" priority="321" operator="containsText" text="Reference">
      <formula>NOT(ISERROR(SEARCH("Reference",M42)))</formula>
    </cfRule>
  </conditionalFormatting>
  <conditionalFormatting sqref="M42:N42">
    <cfRule type="containsText" dxfId="251" priority="320" operator="containsText" text="Reference">
      <formula>NOT(ISERROR(SEARCH("Reference",M42)))</formula>
    </cfRule>
  </conditionalFormatting>
  <conditionalFormatting sqref="M38:N38">
    <cfRule type="containsText" dxfId="250" priority="323" operator="containsText" text="Reference">
      <formula>NOT(ISERROR(SEARCH("Reference",M38)))</formula>
    </cfRule>
  </conditionalFormatting>
  <conditionalFormatting sqref="M38:N38">
    <cfRule type="containsText" dxfId="249" priority="322" operator="containsText" text="Reference">
      <formula>NOT(ISERROR(SEARCH("Reference",M38)))</formula>
    </cfRule>
  </conditionalFormatting>
  <conditionalFormatting sqref="J19">
    <cfRule type="containsText" dxfId="248" priority="369" operator="containsText" text="Reference">
      <formula>NOT(ISERROR(SEARCH("Reference",J19)))</formula>
    </cfRule>
  </conditionalFormatting>
  <conditionalFormatting sqref="K19">
    <cfRule type="containsText" dxfId="247" priority="368" operator="containsText" text="Reference">
      <formula>NOT(ISERROR(SEARCH("Reference",K19)))</formula>
    </cfRule>
  </conditionalFormatting>
  <conditionalFormatting sqref="N39">
    <cfRule type="containsText" dxfId="246" priority="325" operator="containsText" text="Reference">
      <formula>NOT(ISERROR(SEARCH("Reference",N39)))</formula>
    </cfRule>
  </conditionalFormatting>
  <conditionalFormatting sqref="N39">
    <cfRule type="containsText" dxfId="245" priority="324" operator="containsText" text="Reference">
      <formula>NOT(ISERROR(SEARCH("Reference",N39)))</formula>
    </cfRule>
  </conditionalFormatting>
  <conditionalFormatting sqref="S39">
    <cfRule type="containsText" dxfId="244" priority="315" operator="containsText" text="Reference">
      <formula>NOT(ISERROR(SEARCH("Reference",S39)))</formula>
    </cfRule>
  </conditionalFormatting>
  <conditionalFormatting sqref="S39">
    <cfRule type="containsText" dxfId="243" priority="314" operator="containsText" text="Reference">
      <formula>NOT(ISERROR(SEARCH("Reference",S39)))</formula>
    </cfRule>
  </conditionalFormatting>
  <conditionalFormatting sqref="H38:I38">
    <cfRule type="containsText" dxfId="242" priority="333" operator="containsText" text="Reference">
      <formula>NOT(ISERROR(SEARCH("Reference",H38)))</formula>
    </cfRule>
  </conditionalFormatting>
  <conditionalFormatting sqref="H38:I38">
    <cfRule type="containsText" dxfId="241" priority="332" operator="containsText" text="Reference">
      <formula>NOT(ISERROR(SEARCH("Reference",H38)))</formula>
    </cfRule>
  </conditionalFormatting>
  <conditionalFormatting sqref="H42:I42">
    <cfRule type="containsText" dxfId="240" priority="331" operator="containsText" text="Reference">
      <formula>NOT(ISERROR(SEARCH("Reference",H42)))</formula>
    </cfRule>
  </conditionalFormatting>
  <conditionalFormatting sqref="H42:I42">
    <cfRule type="containsText" dxfId="239" priority="330" operator="containsText" text="Reference">
      <formula>NOT(ISERROR(SEARCH("Reference",H42)))</formula>
    </cfRule>
  </conditionalFormatting>
  <conditionalFormatting sqref="R38:S38">
    <cfRule type="containsText" dxfId="238" priority="313" operator="containsText" text="Reference">
      <formula>NOT(ISERROR(SEARCH("Reference",R38)))</formula>
    </cfRule>
  </conditionalFormatting>
  <conditionalFormatting sqref="R38:S38">
    <cfRule type="containsText" dxfId="237" priority="312" operator="containsText" text="Reference">
      <formula>NOT(ISERROR(SEARCH("Reference",R38)))</formula>
    </cfRule>
  </conditionalFormatting>
  <conditionalFormatting sqref="R42:S42">
    <cfRule type="containsText" dxfId="236" priority="311" operator="containsText" text="Reference">
      <formula>NOT(ISERROR(SEARCH("Reference",R42)))</formula>
    </cfRule>
  </conditionalFormatting>
  <conditionalFormatting sqref="R42:S42">
    <cfRule type="containsText" dxfId="235" priority="310" operator="containsText" text="Reference">
      <formula>NOT(ISERROR(SEARCH("Reference",R42)))</formula>
    </cfRule>
  </conditionalFormatting>
  <conditionalFormatting sqref="I44">
    <cfRule type="containsText" dxfId="234" priority="309" operator="containsText" text="Reference">
      <formula>NOT(ISERROR(SEARCH("Reference",I44)))</formula>
    </cfRule>
  </conditionalFormatting>
  <conditionalFormatting sqref="I44">
    <cfRule type="containsText" dxfId="233" priority="308" operator="containsText" text="Reference">
      <formula>NOT(ISERROR(SEARCH("Reference",I44)))</formula>
    </cfRule>
  </conditionalFormatting>
  <conditionalFormatting sqref="H44">
    <cfRule type="containsText" dxfId="232" priority="307" operator="containsText" text="Reference">
      <formula>NOT(ISERROR(SEARCH("Reference",H44)))</formula>
    </cfRule>
  </conditionalFormatting>
  <conditionalFormatting sqref="H44">
    <cfRule type="containsText" dxfId="231" priority="306" operator="containsText" text="Reference">
      <formula>NOT(ISERROR(SEARCH("Reference",H44)))</formula>
    </cfRule>
  </conditionalFormatting>
  <conditionalFormatting sqref="G44">
    <cfRule type="containsText" dxfId="230" priority="305" operator="containsText" text="Reference">
      <formula>NOT(ISERROR(SEARCH("Reference",G44)))</formula>
    </cfRule>
  </conditionalFormatting>
  <conditionalFormatting sqref="G44">
    <cfRule type="containsText" dxfId="229" priority="304" operator="containsText" text="Reference">
      <formula>NOT(ISERROR(SEARCH("Reference",G44)))</formula>
    </cfRule>
  </conditionalFormatting>
  <conditionalFormatting sqref="N44">
    <cfRule type="containsText" dxfId="228" priority="303" operator="containsText" text="Reference">
      <formula>NOT(ISERROR(SEARCH("Reference",N44)))</formula>
    </cfRule>
  </conditionalFormatting>
  <conditionalFormatting sqref="N44">
    <cfRule type="containsText" dxfId="227" priority="302" operator="containsText" text="Reference">
      <formula>NOT(ISERROR(SEARCH("Reference",N44)))</formula>
    </cfRule>
  </conditionalFormatting>
  <conditionalFormatting sqref="M44">
    <cfRule type="containsText" dxfId="226" priority="301" operator="containsText" text="Reference">
      <formula>NOT(ISERROR(SEARCH("Reference",M44)))</formula>
    </cfRule>
  </conditionalFormatting>
  <conditionalFormatting sqref="M44">
    <cfRule type="containsText" dxfId="225" priority="300" operator="containsText" text="Reference">
      <formula>NOT(ISERROR(SEARCH("Reference",M44)))</formula>
    </cfRule>
  </conditionalFormatting>
  <conditionalFormatting sqref="L44">
    <cfRule type="containsText" dxfId="224" priority="299" operator="containsText" text="Reference">
      <formula>NOT(ISERROR(SEARCH("Reference",L44)))</formula>
    </cfRule>
  </conditionalFormatting>
  <conditionalFormatting sqref="L44">
    <cfRule type="containsText" dxfId="223" priority="298" operator="containsText" text="Reference">
      <formula>NOT(ISERROR(SEARCH("Reference",L44)))</formula>
    </cfRule>
  </conditionalFormatting>
  <conditionalFormatting sqref="Q44">
    <cfRule type="containsText" dxfId="222" priority="297" operator="containsText" text="Reference">
      <formula>NOT(ISERROR(SEARCH("Reference",Q44)))</formula>
    </cfRule>
  </conditionalFormatting>
  <conditionalFormatting sqref="Q44">
    <cfRule type="containsText" dxfId="221" priority="296" operator="containsText" text="Reference">
      <formula>NOT(ISERROR(SEARCH("Reference",Q44)))</formula>
    </cfRule>
  </conditionalFormatting>
  <conditionalFormatting sqref="R44">
    <cfRule type="containsText" dxfId="220" priority="295" operator="containsText" text="Reference">
      <formula>NOT(ISERROR(SEARCH("Reference",R44)))</formula>
    </cfRule>
  </conditionalFormatting>
  <conditionalFormatting sqref="R44">
    <cfRule type="containsText" dxfId="219" priority="294" operator="containsText" text="Reference">
      <formula>NOT(ISERROR(SEARCH("Reference",R44)))</formula>
    </cfRule>
  </conditionalFormatting>
  <conditionalFormatting sqref="S44">
    <cfRule type="containsText" dxfId="218" priority="293" operator="containsText" text="Reference">
      <formula>NOT(ISERROR(SEARCH("Reference",S44)))</formula>
    </cfRule>
  </conditionalFormatting>
  <conditionalFormatting sqref="S44">
    <cfRule type="containsText" dxfId="217" priority="292" operator="containsText" text="Reference">
      <formula>NOT(ISERROR(SEARCH("Reference",S44)))</formula>
    </cfRule>
  </conditionalFormatting>
  <conditionalFormatting sqref="G40">
    <cfRule type="containsText" dxfId="216" priority="271" operator="containsText" text="Reference">
      <formula>NOT(ISERROR(SEARCH("Reference",G40)))</formula>
    </cfRule>
  </conditionalFormatting>
  <conditionalFormatting sqref="G40">
    <cfRule type="containsText" dxfId="215" priority="270" operator="containsText" text="Reference">
      <formula>NOT(ISERROR(SEARCH("Reference",G40)))</formula>
    </cfRule>
  </conditionalFormatting>
  <conditionalFormatting sqref="L40">
    <cfRule type="containsText" dxfId="214" priority="269" operator="containsText" text="Reference">
      <formula>NOT(ISERROR(SEARCH("Reference",L40)))</formula>
    </cfRule>
  </conditionalFormatting>
  <conditionalFormatting sqref="L40">
    <cfRule type="containsText" dxfId="213" priority="268" operator="containsText" text="Reference">
      <formula>NOT(ISERROR(SEARCH("Reference",L40)))</formula>
    </cfRule>
  </conditionalFormatting>
  <conditionalFormatting sqref="M40">
    <cfRule type="containsText" dxfId="212" priority="267" operator="containsText" text="Reference">
      <formula>NOT(ISERROR(SEARCH("Reference",M40)))</formula>
    </cfRule>
  </conditionalFormatting>
  <conditionalFormatting sqref="M40">
    <cfRule type="containsText" dxfId="211" priority="266" operator="containsText" text="Reference">
      <formula>NOT(ISERROR(SEARCH("Reference",M40)))</formula>
    </cfRule>
  </conditionalFormatting>
  <conditionalFormatting sqref="N40">
    <cfRule type="containsText" dxfId="210" priority="265" operator="containsText" text="Reference">
      <formula>NOT(ISERROR(SEARCH("Reference",N40)))</formula>
    </cfRule>
  </conditionalFormatting>
  <conditionalFormatting sqref="N40">
    <cfRule type="containsText" dxfId="209" priority="264" operator="containsText" text="Reference">
      <formula>NOT(ISERROR(SEARCH("Reference",N40)))</formula>
    </cfRule>
  </conditionalFormatting>
  <conditionalFormatting sqref="Q40">
    <cfRule type="containsText" dxfId="208" priority="263" operator="containsText" text="Reference">
      <formula>NOT(ISERROR(SEARCH("Reference",Q40)))</formula>
    </cfRule>
  </conditionalFormatting>
  <conditionalFormatting sqref="Q40">
    <cfRule type="containsText" dxfId="207" priority="262" operator="containsText" text="Reference">
      <formula>NOT(ISERROR(SEARCH("Reference",Q40)))</formula>
    </cfRule>
  </conditionalFormatting>
  <conditionalFormatting sqref="R40">
    <cfRule type="containsText" dxfId="206" priority="261" operator="containsText" text="Reference">
      <formula>NOT(ISERROR(SEARCH("Reference",R40)))</formula>
    </cfRule>
  </conditionalFormatting>
  <conditionalFormatting sqref="R40">
    <cfRule type="containsText" dxfId="205" priority="260" operator="containsText" text="Reference">
      <formula>NOT(ISERROR(SEARCH("Reference",R40)))</formula>
    </cfRule>
  </conditionalFormatting>
  <conditionalFormatting sqref="S40">
    <cfRule type="containsText" dxfId="204" priority="259" operator="containsText" text="Reference">
      <formula>NOT(ISERROR(SEARCH("Reference",S40)))</formula>
    </cfRule>
  </conditionalFormatting>
  <conditionalFormatting sqref="S40">
    <cfRule type="containsText" dxfId="203" priority="258" operator="containsText" text="Reference">
      <formula>NOT(ISERROR(SEARCH("Reference",S40)))</formula>
    </cfRule>
  </conditionalFormatting>
  <conditionalFormatting sqref="H86:K86 M86:P86 R86:U86">
    <cfRule type="containsText" dxfId="202" priority="242" operator="containsText" text="Reference">
      <formula>NOT(ISERROR(SEARCH("Reference",H86)))</formula>
    </cfRule>
  </conditionalFormatting>
  <conditionalFormatting sqref="H86:K86">
    <cfRule type="containsText" dxfId="201" priority="245" operator="containsText" text="Reference">
      <formula>NOT(ISERROR(SEARCH("Reference",H86)))</formula>
    </cfRule>
  </conditionalFormatting>
  <conditionalFormatting sqref="M86:P86">
    <cfRule type="containsText" dxfId="200" priority="244" operator="containsText" text="Reference">
      <formula>NOT(ISERROR(SEARCH("Reference",M86)))</formula>
    </cfRule>
  </conditionalFormatting>
  <conditionalFormatting sqref="R86:U86">
    <cfRule type="containsText" dxfId="199" priority="243" operator="containsText" text="Reference">
      <formula>NOT(ISERROR(SEARCH("Reference",R86)))</formula>
    </cfRule>
  </conditionalFormatting>
  <conditionalFormatting sqref="B85">
    <cfRule type="containsText" dxfId="198" priority="241" operator="containsText" text="Add here">
      <formula>NOT(ISERROR(SEARCH("Add here",B85)))</formula>
    </cfRule>
  </conditionalFormatting>
  <conditionalFormatting sqref="G86">
    <cfRule type="containsText" dxfId="197" priority="240" operator="containsText" text="Reference">
      <formula>NOT(ISERROR(SEARCH("Reference",G86)))</formula>
    </cfRule>
  </conditionalFormatting>
  <conditionalFormatting sqref="G86">
    <cfRule type="containsText" dxfId="196" priority="239" operator="containsText" text="Reference">
      <formula>NOT(ISERROR(SEARCH("Reference",G86)))</formula>
    </cfRule>
  </conditionalFormatting>
  <conditionalFormatting sqref="D85">
    <cfRule type="containsText" dxfId="195" priority="238" operator="containsText" text="Specify here">
      <formula>NOT(ISERROR(SEARCH("Specify here",D85)))</formula>
    </cfRule>
  </conditionalFormatting>
  <conditionalFormatting sqref="L86">
    <cfRule type="containsText" dxfId="194" priority="237" operator="containsText" text="Reference">
      <formula>NOT(ISERROR(SEARCH("Reference",L86)))</formula>
    </cfRule>
  </conditionalFormatting>
  <conditionalFormatting sqref="L86">
    <cfRule type="containsText" dxfId="193" priority="236" operator="containsText" text="Reference">
      <formula>NOT(ISERROR(SEARCH("Reference",L86)))</formula>
    </cfRule>
  </conditionalFormatting>
  <conditionalFormatting sqref="Q86">
    <cfRule type="containsText" dxfId="192" priority="235" operator="containsText" text="Reference">
      <formula>NOT(ISERROR(SEARCH("Reference",Q86)))</formula>
    </cfRule>
  </conditionalFormatting>
  <conditionalFormatting sqref="Q86">
    <cfRule type="containsText" dxfId="191" priority="234" operator="containsText" text="Reference">
      <formula>NOT(ISERROR(SEARCH("Reference",Q86)))</formula>
    </cfRule>
  </conditionalFormatting>
  <conditionalFormatting sqref="K52 K54 K56">
    <cfRule type="containsText" dxfId="190" priority="167" operator="containsText" text="Reference">
      <formula>NOT(ISERROR(SEARCH("Reference",K52)))</formula>
    </cfRule>
  </conditionalFormatting>
  <conditionalFormatting sqref="K52 K56 K54">
    <cfRule type="containsText" dxfId="189" priority="166" operator="containsText" text="Reference">
      <formula>NOT(ISERROR(SEARCH("Reference",K52)))</formula>
    </cfRule>
  </conditionalFormatting>
  <conditionalFormatting sqref="J52 J54 J56">
    <cfRule type="containsText" dxfId="188" priority="165" operator="containsText" text="Reference">
      <formula>NOT(ISERROR(SEARCH("Reference",J52)))</formula>
    </cfRule>
  </conditionalFormatting>
  <conditionalFormatting sqref="J52 J56 J54">
    <cfRule type="containsText" dxfId="187" priority="164" operator="containsText" text="Reference">
      <formula>NOT(ISERROR(SEARCH("Reference",J52)))</formula>
    </cfRule>
  </conditionalFormatting>
  <conditionalFormatting sqref="J50">
    <cfRule type="containsText" dxfId="186" priority="163" operator="containsText" text="Reference">
      <formula>NOT(ISERROR(SEARCH("Reference",J50)))</formula>
    </cfRule>
  </conditionalFormatting>
  <conditionalFormatting sqref="J50">
    <cfRule type="containsText" dxfId="185" priority="162" operator="containsText" text="Reference">
      <formula>NOT(ISERROR(SEARCH("Reference",J50)))</formula>
    </cfRule>
  </conditionalFormatting>
  <conditionalFormatting sqref="K50">
    <cfRule type="containsText" dxfId="184" priority="161" operator="containsText" text="Reference">
      <formula>NOT(ISERROR(SEARCH("Reference",K50)))</formula>
    </cfRule>
  </conditionalFormatting>
  <conditionalFormatting sqref="K50">
    <cfRule type="containsText" dxfId="183" priority="160" operator="containsText" text="Reference">
      <formula>NOT(ISERROR(SEARCH("Reference",K50)))</formula>
    </cfRule>
  </conditionalFormatting>
  <conditionalFormatting sqref="I52 I54 I56">
    <cfRule type="containsText" dxfId="182" priority="159" operator="containsText" text="Reference">
      <formula>NOT(ISERROR(SEARCH("Reference",I52)))</formula>
    </cfRule>
  </conditionalFormatting>
  <conditionalFormatting sqref="I52 I56 I54">
    <cfRule type="containsText" dxfId="181" priority="158" operator="containsText" text="Reference">
      <formula>NOT(ISERROR(SEARCH("Reference",I52)))</formula>
    </cfRule>
  </conditionalFormatting>
  <conditionalFormatting sqref="H52 H54 H56">
    <cfRule type="containsText" dxfId="180" priority="157" operator="containsText" text="Reference">
      <formula>NOT(ISERROR(SEARCH("Reference",H52)))</formula>
    </cfRule>
  </conditionalFormatting>
  <conditionalFormatting sqref="H52 H56 H54">
    <cfRule type="containsText" dxfId="179" priority="156" operator="containsText" text="Reference">
      <formula>NOT(ISERROR(SEARCH("Reference",H52)))</formula>
    </cfRule>
  </conditionalFormatting>
  <conditionalFormatting sqref="G56">
    <cfRule type="containsText" dxfId="178" priority="155" operator="containsText" text="Reference">
      <formula>NOT(ISERROR(SEARCH("Reference",G56)))</formula>
    </cfRule>
  </conditionalFormatting>
  <conditionalFormatting sqref="G56">
    <cfRule type="containsText" dxfId="177" priority="154" operator="containsText" text="Reference">
      <formula>NOT(ISERROR(SEARCH("Reference",G56)))</formula>
    </cfRule>
  </conditionalFormatting>
  <conditionalFormatting sqref="H50">
    <cfRule type="containsText" dxfId="176" priority="153" operator="containsText" text="Reference">
      <formula>NOT(ISERROR(SEARCH("Reference",H50)))</formula>
    </cfRule>
  </conditionalFormatting>
  <conditionalFormatting sqref="H50">
    <cfRule type="containsText" dxfId="175" priority="152" operator="containsText" text="Reference">
      <formula>NOT(ISERROR(SEARCH("Reference",H50)))</formula>
    </cfRule>
  </conditionalFormatting>
  <conditionalFormatting sqref="I50">
    <cfRule type="containsText" dxfId="174" priority="151" operator="containsText" text="Reference">
      <formula>NOT(ISERROR(SEARCH("Reference",I50)))</formula>
    </cfRule>
  </conditionalFormatting>
  <conditionalFormatting sqref="I50">
    <cfRule type="containsText" dxfId="173" priority="150" operator="containsText" text="Reference">
      <formula>NOT(ISERROR(SEARCH("Reference",I50)))</formula>
    </cfRule>
  </conditionalFormatting>
  <conditionalFormatting sqref="G50">
    <cfRule type="containsText" dxfId="172" priority="149" operator="containsText" text="Reference">
      <formula>NOT(ISERROR(SEARCH("Reference",G50)))</formula>
    </cfRule>
  </conditionalFormatting>
  <conditionalFormatting sqref="G50">
    <cfRule type="containsText" dxfId="171" priority="148" operator="containsText" text="Reference">
      <formula>NOT(ISERROR(SEARCH("Reference",G50)))</formula>
    </cfRule>
  </conditionalFormatting>
  <conditionalFormatting sqref="G50">
    <cfRule type="containsText" dxfId="170" priority="147" operator="containsText" text="Reference">
      <formula>NOT(ISERROR(SEARCH("Reference",G50)))</formula>
    </cfRule>
  </conditionalFormatting>
  <conditionalFormatting sqref="G50">
    <cfRule type="containsText" dxfId="169" priority="146" operator="containsText" text="Reference">
      <formula>NOT(ISERROR(SEARCH("Reference",G50)))</formula>
    </cfRule>
  </conditionalFormatting>
  <conditionalFormatting sqref="G52">
    <cfRule type="containsText" dxfId="168" priority="145" operator="containsText" text="Reference">
      <formula>NOT(ISERROR(SEARCH("Reference",G52)))</formula>
    </cfRule>
  </conditionalFormatting>
  <conditionalFormatting sqref="G52">
    <cfRule type="containsText" dxfId="167" priority="144" operator="containsText" text="Reference">
      <formula>NOT(ISERROR(SEARCH("Reference",G52)))</formula>
    </cfRule>
  </conditionalFormatting>
  <conditionalFormatting sqref="G52">
    <cfRule type="containsText" dxfId="166" priority="143" operator="containsText" text="Reference">
      <formula>NOT(ISERROR(SEARCH("Reference",G52)))</formula>
    </cfRule>
  </conditionalFormatting>
  <conditionalFormatting sqref="G52">
    <cfRule type="containsText" dxfId="165" priority="142" operator="containsText" text="Reference">
      <formula>NOT(ISERROR(SEARCH("Reference",G52)))</formula>
    </cfRule>
  </conditionalFormatting>
  <conditionalFormatting sqref="G54">
    <cfRule type="containsText" dxfId="164" priority="141" operator="containsText" text="Reference">
      <formula>NOT(ISERROR(SEARCH("Reference",G54)))</formula>
    </cfRule>
  </conditionalFormatting>
  <conditionalFormatting sqref="G54">
    <cfRule type="containsText" dxfId="163" priority="140" operator="containsText" text="Reference">
      <formula>NOT(ISERROR(SEARCH("Reference",G54)))</formula>
    </cfRule>
  </conditionalFormatting>
  <conditionalFormatting sqref="G54">
    <cfRule type="containsText" dxfId="162" priority="139" operator="containsText" text="Reference">
      <formula>NOT(ISERROR(SEARCH("Reference",G54)))</formula>
    </cfRule>
  </conditionalFormatting>
  <conditionalFormatting sqref="G54">
    <cfRule type="containsText" dxfId="161" priority="138" operator="containsText" text="Reference">
      <formula>NOT(ISERROR(SEARCH("Reference",G54)))</formula>
    </cfRule>
  </conditionalFormatting>
  <conditionalFormatting sqref="L56">
    <cfRule type="containsText" dxfId="160" priority="95" operator="containsText" text="Reference">
      <formula>NOT(ISERROR(SEARCH("Reference",L56)))</formula>
    </cfRule>
  </conditionalFormatting>
  <conditionalFormatting sqref="L56">
    <cfRule type="containsText" dxfId="159" priority="94" operator="containsText" text="Reference">
      <formula>NOT(ISERROR(SEARCH("Reference",L56)))</formula>
    </cfRule>
  </conditionalFormatting>
  <conditionalFormatting sqref="L50">
    <cfRule type="containsText" dxfId="158" priority="93" operator="containsText" text="Reference">
      <formula>NOT(ISERROR(SEARCH("Reference",L50)))</formula>
    </cfRule>
  </conditionalFormatting>
  <conditionalFormatting sqref="L50">
    <cfRule type="containsText" dxfId="157" priority="92" operator="containsText" text="Reference">
      <formula>NOT(ISERROR(SEARCH("Reference",L50)))</formula>
    </cfRule>
  </conditionalFormatting>
  <conditionalFormatting sqref="L50">
    <cfRule type="containsText" dxfId="156" priority="91" operator="containsText" text="Reference">
      <formula>NOT(ISERROR(SEARCH("Reference",L50)))</formula>
    </cfRule>
  </conditionalFormatting>
  <conditionalFormatting sqref="L50">
    <cfRule type="containsText" dxfId="155" priority="90" operator="containsText" text="Reference">
      <formula>NOT(ISERROR(SEARCH("Reference",L50)))</formula>
    </cfRule>
  </conditionalFormatting>
  <conditionalFormatting sqref="L52">
    <cfRule type="containsText" dxfId="154" priority="89" operator="containsText" text="Reference">
      <formula>NOT(ISERROR(SEARCH("Reference",L52)))</formula>
    </cfRule>
  </conditionalFormatting>
  <conditionalFormatting sqref="L52">
    <cfRule type="containsText" dxfId="153" priority="88" operator="containsText" text="Reference">
      <formula>NOT(ISERROR(SEARCH("Reference",L52)))</formula>
    </cfRule>
  </conditionalFormatting>
  <conditionalFormatting sqref="L52">
    <cfRule type="containsText" dxfId="152" priority="87" operator="containsText" text="Reference">
      <formula>NOT(ISERROR(SEARCH("Reference",L52)))</formula>
    </cfRule>
  </conditionalFormatting>
  <conditionalFormatting sqref="L52">
    <cfRule type="containsText" dxfId="151" priority="86" operator="containsText" text="Reference">
      <formula>NOT(ISERROR(SEARCH("Reference",L52)))</formula>
    </cfRule>
  </conditionalFormatting>
  <conditionalFormatting sqref="L54">
    <cfRule type="containsText" dxfId="150" priority="85" operator="containsText" text="Reference">
      <formula>NOT(ISERROR(SEARCH("Reference",L54)))</formula>
    </cfRule>
  </conditionalFormatting>
  <conditionalFormatting sqref="L54">
    <cfRule type="containsText" dxfId="149" priority="84" operator="containsText" text="Reference">
      <formula>NOT(ISERROR(SEARCH("Reference",L54)))</formula>
    </cfRule>
  </conditionalFormatting>
  <conditionalFormatting sqref="L54">
    <cfRule type="containsText" dxfId="148" priority="83" operator="containsText" text="Reference">
      <formula>NOT(ISERROR(SEARCH("Reference",L54)))</formula>
    </cfRule>
  </conditionalFormatting>
  <conditionalFormatting sqref="L54">
    <cfRule type="containsText" dxfId="147" priority="82" operator="containsText" text="Reference">
      <formula>NOT(ISERROR(SEARCH("Reference",L54)))</formula>
    </cfRule>
  </conditionalFormatting>
  <conditionalFormatting sqref="Q56">
    <cfRule type="containsText" dxfId="146" priority="81" operator="containsText" text="Reference">
      <formula>NOT(ISERROR(SEARCH("Reference",Q56)))</formula>
    </cfRule>
  </conditionalFormatting>
  <conditionalFormatting sqref="Q56">
    <cfRule type="containsText" dxfId="145" priority="80" operator="containsText" text="Reference">
      <formula>NOT(ISERROR(SEARCH("Reference",Q56)))</formula>
    </cfRule>
  </conditionalFormatting>
  <conditionalFormatting sqref="Q50">
    <cfRule type="containsText" dxfId="144" priority="79" operator="containsText" text="Reference">
      <formula>NOT(ISERROR(SEARCH("Reference",Q50)))</formula>
    </cfRule>
  </conditionalFormatting>
  <conditionalFormatting sqref="Q50">
    <cfRule type="containsText" dxfId="143" priority="78" operator="containsText" text="Reference">
      <formula>NOT(ISERROR(SEARCH("Reference",Q50)))</formula>
    </cfRule>
  </conditionalFormatting>
  <conditionalFormatting sqref="Q50">
    <cfRule type="containsText" dxfId="142" priority="77" operator="containsText" text="Reference">
      <formula>NOT(ISERROR(SEARCH("Reference",Q50)))</formula>
    </cfRule>
  </conditionalFormatting>
  <conditionalFormatting sqref="Q50">
    <cfRule type="containsText" dxfId="141" priority="76" operator="containsText" text="Reference">
      <formula>NOT(ISERROR(SEARCH("Reference",Q50)))</formula>
    </cfRule>
  </conditionalFormatting>
  <conditionalFormatting sqref="Q52">
    <cfRule type="containsText" dxfId="140" priority="75" operator="containsText" text="Reference">
      <formula>NOT(ISERROR(SEARCH("Reference",Q52)))</formula>
    </cfRule>
  </conditionalFormatting>
  <conditionalFormatting sqref="Q52">
    <cfRule type="containsText" dxfId="139" priority="74" operator="containsText" text="Reference">
      <formula>NOT(ISERROR(SEARCH("Reference",Q52)))</formula>
    </cfRule>
  </conditionalFormatting>
  <conditionalFormatting sqref="Q52">
    <cfRule type="containsText" dxfId="138" priority="73" operator="containsText" text="Reference">
      <formula>NOT(ISERROR(SEARCH("Reference",Q52)))</formula>
    </cfRule>
  </conditionalFormatting>
  <conditionalFormatting sqref="Q52">
    <cfRule type="containsText" dxfId="137" priority="72" operator="containsText" text="Reference">
      <formula>NOT(ISERROR(SEARCH("Reference",Q52)))</formula>
    </cfRule>
  </conditionalFormatting>
  <conditionalFormatting sqref="Q54">
    <cfRule type="containsText" dxfId="136" priority="71" operator="containsText" text="Reference">
      <formula>NOT(ISERROR(SEARCH("Reference",Q54)))</formula>
    </cfRule>
  </conditionalFormatting>
  <conditionalFormatting sqref="Q54">
    <cfRule type="containsText" dxfId="135" priority="70" operator="containsText" text="Reference">
      <formula>NOT(ISERROR(SEARCH("Reference",Q54)))</formula>
    </cfRule>
  </conditionalFormatting>
  <conditionalFormatting sqref="Q54">
    <cfRule type="containsText" dxfId="134" priority="69" operator="containsText" text="Reference">
      <formula>NOT(ISERROR(SEARCH("Reference",Q54)))</formula>
    </cfRule>
  </conditionalFormatting>
  <conditionalFormatting sqref="Q54">
    <cfRule type="containsText" dxfId="133" priority="68" operator="containsText" text="Reference">
      <formula>NOT(ISERROR(SEARCH("Reference",Q54)))</formula>
    </cfRule>
  </conditionalFormatting>
  <conditionalFormatting sqref="S52">
    <cfRule type="containsText" dxfId="132" priority="67" operator="containsText" text="Reference">
      <formula>NOT(ISERROR(SEARCH("Reference",S52)))</formula>
    </cfRule>
  </conditionalFormatting>
  <conditionalFormatting sqref="S52">
    <cfRule type="containsText" dxfId="131" priority="66" operator="containsText" text="Reference">
      <formula>NOT(ISERROR(SEARCH("Reference",S52)))</formula>
    </cfRule>
  </conditionalFormatting>
  <conditionalFormatting sqref="S54">
    <cfRule type="containsText" dxfId="130" priority="65" operator="containsText" text="Reference">
      <formula>NOT(ISERROR(SEARCH("Reference",S54)))</formula>
    </cfRule>
  </conditionalFormatting>
  <conditionalFormatting sqref="S54">
    <cfRule type="containsText" dxfId="129" priority="64" operator="containsText" text="Reference">
      <formula>NOT(ISERROR(SEARCH("Reference",S54)))</formula>
    </cfRule>
  </conditionalFormatting>
  <conditionalFormatting sqref="S56">
    <cfRule type="containsText" dxfId="128" priority="63" operator="containsText" text="Reference">
      <formula>NOT(ISERROR(SEARCH("Reference",S56)))</formula>
    </cfRule>
  </conditionalFormatting>
  <conditionalFormatting sqref="S56">
    <cfRule type="containsText" dxfId="127" priority="62" operator="containsText" text="Reference">
      <formula>NOT(ISERROR(SEARCH("Reference",S56)))</formula>
    </cfRule>
  </conditionalFormatting>
  <conditionalFormatting sqref="S50">
    <cfRule type="containsText" dxfId="126" priority="61" operator="containsText" text="Reference">
      <formula>NOT(ISERROR(SEARCH("Reference",S50)))</formula>
    </cfRule>
  </conditionalFormatting>
  <conditionalFormatting sqref="S50">
    <cfRule type="containsText" dxfId="125" priority="60" operator="containsText" text="Reference">
      <formula>NOT(ISERROR(SEARCH("Reference",S50)))</formula>
    </cfRule>
  </conditionalFormatting>
  <conditionalFormatting sqref="N52">
    <cfRule type="containsText" dxfId="124" priority="59" operator="containsText" text="Reference">
      <formula>NOT(ISERROR(SEARCH("Reference",N52)))</formula>
    </cfRule>
  </conditionalFormatting>
  <conditionalFormatting sqref="N52">
    <cfRule type="containsText" dxfId="123" priority="58" operator="containsText" text="Reference">
      <formula>NOT(ISERROR(SEARCH("Reference",N52)))</formula>
    </cfRule>
  </conditionalFormatting>
  <conditionalFormatting sqref="N54">
    <cfRule type="containsText" dxfId="122" priority="57" operator="containsText" text="Reference">
      <formula>NOT(ISERROR(SEARCH("Reference",N54)))</formula>
    </cfRule>
  </conditionalFormatting>
  <conditionalFormatting sqref="N54">
    <cfRule type="containsText" dxfId="121" priority="56" operator="containsText" text="Reference">
      <formula>NOT(ISERROR(SEARCH("Reference",N54)))</formula>
    </cfRule>
  </conditionalFormatting>
  <conditionalFormatting sqref="N56">
    <cfRule type="containsText" dxfId="120" priority="55" operator="containsText" text="Reference">
      <formula>NOT(ISERROR(SEARCH("Reference",N56)))</formula>
    </cfRule>
  </conditionalFormatting>
  <conditionalFormatting sqref="N56">
    <cfRule type="containsText" dxfId="119" priority="54" operator="containsText" text="Reference">
      <formula>NOT(ISERROR(SEARCH("Reference",N56)))</formula>
    </cfRule>
  </conditionalFormatting>
  <conditionalFormatting sqref="N50">
    <cfRule type="containsText" dxfId="118" priority="53" operator="containsText" text="Reference">
      <formula>NOT(ISERROR(SEARCH("Reference",N50)))</formula>
    </cfRule>
  </conditionalFormatting>
  <conditionalFormatting sqref="N50">
    <cfRule type="containsText" dxfId="117" priority="52" operator="containsText" text="Reference">
      <formula>NOT(ISERROR(SEARCH("Reference",N50)))</formula>
    </cfRule>
  </conditionalFormatting>
  <conditionalFormatting sqref="K40">
    <cfRule type="containsText" dxfId="116" priority="51" operator="containsText" text="Reference">
      <formula>NOT(ISERROR(SEARCH("Reference",K40)))</formula>
    </cfRule>
  </conditionalFormatting>
  <conditionalFormatting sqref="K40">
    <cfRule type="containsText" dxfId="115" priority="50" operator="containsText" text="Reference">
      <formula>NOT(ISERROR(SEARCH("Reference",K40)))</formula>
    </cfRule>
  </conditionalFormatting>
  <conditionalFormatting sqref="K39">
    <cfRule type="containsText" dxfId="114" priority="49" operator="containsText" text="Reference">
      <formula>NOT(ISERROR(SEARCH("Reference",K39)))</formula>
    </cfRule>
  </conditionalFormatting>
  <conditionalFormatting sqref="K39">
    <cfRule type="containsText" dxfId="113" priority="48" operator="containsText" text="Reference">
      <formula>NOT(ISERROR(SEARCH("Reference",K39)))</formula>
    </cfRule>
  </conditionalFormatting>
  <conditionalFormatting sqref="K38">
    <cfRule type="containsText" dxfId="112" priority="47" operator="containsText" text="Reference">
      <formula>NOT(ISERROR(SEARCH("Reference",K38)))</formula>
    </cfRule>
  </conditionalFormatting>
  <conditionalFormatting sqref="K38">
    <cfRule type="containsText" dxfId="111" priority="46" operator="containsText" text="Reference">
      <formula>NOT(ISERROR(SEARCH("Reference",K38)))</formula>
    </cfRule>
  </conditionalFormatting>
  <conditionalFormatting sqref="K42">
    <cfRule type="containsText" dxfId="110" priority="45" operator="containsText" text="Reference">
      <formula>NOT(ISERROR(SEARCH("Reference",K42)))</formula>
    </cfRule>
  </conditionalFormatting>
  <conditionalFormatting sqref="K42">
    <cfRule type="containsText" dxfId="109" priority="44" operator="containsText" text="Reference">
      <formula>NOT(ISERROR(SEARCH("Reference",K42)))</formula>
    </cfRule>
  </conditionalFormatting>
  <conditionalFormatting sqref="P40">
    <cfRule type="containsText" dxfId="108" priority="35" operator="containsText" text="Reference">
      <formula>NOT(ISERROR(SEARCH("Reference",P40)))</formula>
    </cfRule>
  </conditionalFormatting>
  <conditionalFormatting sqref="P40">
    <cfRule type="containsText" dxfId="107" priority="34" operator="containsText" text="Reference">
      <formula>NOT(ISERROR(SEARCH("Reference",P40)))</formula>
    </cfRule>
  </conditionalFormatting>
  <conditionalFormatting sqref="P39">
    <cfRule type="containsText" dxfId="106" priority="33" operator="containsText" text="Reference">
      <formula>NOT(ISERROR(SEARCH("Reference",P39)))</formula>
    </cfRule>
  </conditionalFormatting>
  <conditionalFormatting sqref="P39">
    <cfRule type="containsText" dxfId="105" priority="32" operator="containsText" text="Reference">
      <formula>NOT(ISERROR(SEARCH("Reference",P39)))</formula>
    </cfRule>
  </conditionalFormatting>
  <conditionalFormatting sqref="P38">
    <cfRule type="containsText" dxfId="104" priority="31" operator="containsText" text="Reference">
      <formula>NOT(ISERROR(SEARCH("Reference",P38)))</formula>
    </cfRule>
  </conditionalFormatting>
  <conditionalFormatting sqref="P38">
    <cfRule type="containsText" dxfId="103" priority="30" operator="containsText" text="Reference">
      <formula>NOT(ISERROR(SEARCH("Reference",P38)))</formula>
    </cfRule>
  </conditionalFormatting>
  <conditionalFormatting sqref="P42">
    <cfRule type="containsText" dxfId="102" priority="29" operator="containsText" text="Reference">
      <formula>NOT(ISERROR(SEARCH("Reference",P42)))</formula>
    </cfRule>
  </conditionalFormatting>
  <conditionalFormatting sqref="P42">
    <cfRule type="containsText" dxfId="101" priority="28" operator="containsText" text="Reference">
      <formula>NOT(ISERROR(SEARCH("Reference",P42)))</formula>
    </cfRule>
  </conditionalFormatting>
  <conditionalFormatting sqref="K44">
    <cfRule type="containsText" dxfId="100" priority="27" operator="containsText" text="Reference">
      <formula>NOT(ISERROR(SEARCH("Reference",K44)))</formula>
    </cfRule>
  </conditionalFormatting>
  <conditionalFormatting sqref="K44">
    <cfRule type="containsText" dxfId="99" priority="26" operator="containsText" text="Reference">
      <formula>NOT(ISERROR(SEARCH("Reference",K44)))</formula>
    </cfRule>
  </conditionalFormatting>
  <conditionalFormatting sqref="P44">
    <cfRule type="containsText" dxfId="98" priority="25" operator="containsText" text="Reference">
      <formula>NOT(ISERROR(SEARCH("Reference",P44)))</formula>
    </cfRule>
  </conditionalFormatting>
  <conditionalFormatting sqref="P44">
    <cfRule type="containsText" dxfId="97" priority="24" operator="containsText" text="Reference">
      <formula>NOT(ISERROR(SEARCH("Reference",P44)))</formula>
    </cfRule>
  </conditionalFormatting>
  <conditionalFormatting sqref="M52 M54 M56">
    <cfRule type="containsText" dxfId="96" priority="23" operator="containsText" text="Reference">
      <formula>NOT(ISERROR(SEARCH("Reference",M52)))</formula>
    </cfRule>
  </conditionalFormatting>
  <conditionalFormatting sqref="M52 M56 M54">
    <cfRule type="containsText" dxfId="95" priority="22" operator="containsText" text="Reference">
      <formula>NOT(ISERROR(SEARCH("Reference",M52)))</formula>
    </cfRule>
  </conditionalFormatting>
  <conditionalFormatting sqref="M50">
    <cfRule type="containsText" dxfId="94" priority="21" operator="containsText" text="Reference">
      <formula>NOT(ISERROR(SEARCH("Reference",M50)))</formula>
    </cfRule>
  </conditionalFormatting>
  <conditionalFormatting sqref="M50">
    <cfRule type="containsText" dxfId="93" priority="20" operator="containsText" text="Reference">
      <formula>NOT(ISERROR(SEARCH("Reference",M50)))</formula>
    </cfRule>
  </conditionalFormatting>
  <conditionalFormatting sqref="R52 R54 R56">
    <cfRule type="containsText" dxfId="92" priority="19" operator="containsText" text="Reference">
      <formula>NOT(ISERROR(SEARCH("Reference",R52)))</formula>
    </cfRule>
  </conditionalFormatting>
  <conditionalFormatting sqref="R52 R56 R54">
    <cfRule type="containsText" dxfId="91" priority="18" operator="containsText" text="Reference">
      <formula>NOT(ISERROR(SEARCH("Reference",R52)))</formula>
    </cfRule>
  </conditionalFormatting>
  <conditionalFormatting sqref="R50">
    <cfRule type="containsText" dxfId="90" priority="17" operator="containsText" text="Reference">
      <formula>NOT(ISERROR(SEARCH("Reference",R50)))</formula>
    </cfRule>
  </conditionalFormatting>
  <conditionalFormatting sqref="R50">
    <cfRule type="containsText" dxfId="89" priority="16" operator="containsText" text="Reference">
      <formula>NOT(ISERROR(SEARCH("Reference",R50)))</formula>
    </cfRule>
  </conditionalFormatting>
  <conditionalFormatting sqref="H84:K84 M84:P84 R84:U84">
    <cfRule type="containsText" dxfId="88" priority="12" operator="containsText" text="Reference">
      <formula>NOT(ISERROR(SEARCH("Reference",H84)))</formula>
    </cfRule>
  </conditionalFormatting>
  <conditionalFormatting sqref="H84:K84">
    <cfRule type="containsText" dxfId="87" priority="15" operator="containsText" text="Reference">
      <formula>NOT(ISERROR(SEARCH("Reference",H84)))</formula>
    </cfRule>
  </conditionalFormatting>
  <conditionalFormatting sqref="M84:P84">
    <cfRule type="containsText" dxfId="86" priority="14" operator="containsText" text="Reference">
      <formula>NOT(ISERROR(SEARCH("Reference",M84)))</formula>
    </cfRule>
  </conditionalFormatting>
  <conditionalFormatting sqref="R84:U84">
    <cfRule type="containsText" dxfId="85" priority="13" operator="containsText" text="Reference">
      <formula>NOT(ISERROR(SEARCH("Reference",R84)))</formula>
    </cfRule>
  </conditionalFormatting>
  <conditionalFormatting sqref="B83">
    <cfRule type="containsText" dxfId="84" priority="11" operator="containsText" text="Add here">
      <formula>NOT(ISERROR(SEARCH("Add here",B83)))</formula>
    </cfRule>
  </conditionalFormatting>
  <conditionalFormatting sqref="G84">
    <cfRule type="containsText" dxfId="83" priority="10" operator="containsText" text="Reference">
      <formula>NOT(ISERROR(SEARCH("Reference",G84)))</formula>
    </cfRule>
  </conditionalFormatting>
  <conditionalFormatting sqref="G84">
    <cfRule type="containsText" dxfId="82" priority="9" operator="containsText" text="Reference">
      <formula>NOT(ISERROR(SEARCH("Reference",G84)))</formula>
    </cfRule>
  </conditionalFormatting>
  <conditionalFormatting sqref="D83">
    <cfRule type="containsText" dxfId="81" priority="8" operator="containsText" text="Specify here">
      <formula>NOT(ISERROR(SEARCH("Specify here",D83)))</formula>
    </cfRule>
  </conditionalFormatting>
  <conditionalFormatting sqref="L84">
    <cfRule type="containsText" dxfId="80" priority="7" operator="containsText" text="Reference">
      <formula>NOT(ISERROR(SEARCH("Reference",L84)))</formula>
    </cfRule>
  </conditionalFormatting>
  <conditionalFormatting sqref="L84">
    <cfRule type="containsText" dxfId="79" priority="6" operator="containsText" text="Reference">
      <formula>NOT(ISERROR(SEARCH("Reference",L84)))</formula>
    </cfRule>
  </conditionalFormatting>
  <conditionalFormatting sqref="Q84">
    <cfRule type="containsText" dxfId="78" priority="5" operator="containsText" text="Reference">
      <formula>NOT(ISERROR(SEARCH("Reference",Q84)))</formula>
    </cfRule>
  </conditionalFormatting>
  <conditionalFormatting sqref="Q84">
    <cfRule type="containsText" dxfId="77" priority="4" operator="containsText" text="Reference">
      <formula>NOT(ISERROR(SEARCH("Reference",Q84)))</formula>
    </cfRule>
  </conditionalFormatting>
  <conditionalFormatting sqref="B87">
    <cfRule type="containsText" dxfId="76" priority="3" operator="containsText" text="Add here">
      <formula>NOT(ISERROR(SEARCH("Add here",B87)))</formula>
    </cfRule>
  </conditionalFormatting>
  <conditionalFormatting sqref="D87">
    <cfRule type="containsText" dxfId="75" priority="1" operator="containsText" text="Specify here">
      <formula>NOT(ISERROR(SEARCH("Specify here",D87)))</formula>
    </cfRule>
  </conditionalFormatting>
  <dataValidations count="7">
    <dataValidation allowBlank="1" showInputMessage="1" showErrorMessage="1" prompt="More details are found in 'READ ME' tab" sqref="L13:O13 D13" xr:uid="{B4D7B7FC-E8D7-4C1B-974F-5315503DC18D}"/>
    <dataValidation type="textLength" operator="lessThanOrEqual" allowBlank="1" showInputMessage="1" showErrorMessage="1" error="The cell only allows up to 700 characters._x000a_" prompt="Maximum length: 700 characters" sqref="M11 O11" xr:uid="{C5AE93C3-C533-4DD9-9795-E0F27DA99FD2}">
      <formula1>700</formula1>
    </dataValidation>
    <dataValidation type="list" allowBlank="1" showInputMessage="1" showErrorMessage="1" sqref="L32:O32" xr:uid="{9901DC60-A1E1-4973-90BC-3DD1AF773D91}">
      <formula1>$X$6:$X$8</formula1>
    </dataValidation>
    <dataValidation type="list" allowBlank="1" showInputMessage="1" showErrorMessage="1" sqref="L9:O9" xr:uid="{F5BF810B-B1A7-456C-9F71-FBD4C582EC0E}">
      <formula1>$X$1:$X$4</formula1>
    </dataValidation>
    <dataValidation type="list" allowBlank="1" showInputMessage="1" showErrorMessage="1" sqref="L10:O10" xr:uid="{29D3573C-0C52-46C7-9055-4E9461B109EE}">
      <formula1>$D$3:$D$14</formula1>
    </dataValidation>
    <dataValidation type="list" allowBlank="1" showInputMessage="1" showErrorMessage="1" sqref="L7:O7" xr:uid="{D86DA10A-1FF8-4068-B238-00E13191ECA8}">
      <formula1>$B$3:$B$24</formula1>
    </dataValidation>
    <dataValidation type="list" allowBlank="1" showInputMessage="1" showErrorMessage="1" prompt="More details are found in 'READ ME' tab" sqref="M12:O12" xr:uid="{455B2EE1-DA0C-4FC7-8B40-616F3DC8FB94}">
      <formula1>$C$17:$C$29</formula1>
    </dataValidation>
  </dataValidations>
  <hyperlinks>
    <hyperlink ref="C91" r:id="rId1" xr:uid="{771AE974-24E0-42C1-83E3-1B0B9D062418}"/>
    <hyperlink ref="O8" r:id="rId2" xr:uid="{9A9B41C3-E5EB-4279-A7A8-5FEB6B8AD33F}"/>
  </hyperlinks>
  <pageMargins left="0.7" right="0.7" top="0.75" bottom="0.75" header="0.3" footer="0.3"/>
  <pageSetup paperSize="9" scale="15" orientation="landscape" r:id="rId3"/>
  <drawing r:id="rId4"/>
  <legacyDrawing r:id="rId5"/>
  <extLst>
    <ext xmlns:x14="http://schemas.microsoft.com/office/spreadsheetml/2009/9/main" uri="{CCE6A557-97BC-4b89-ADB6-D9C93CAAB3DF}">
      <x14:dataValidations xmlns:xm="http://schemas.microsoft.com/office/excel/2006/main" count="12">
        <x14:dataValidation type="list" allowBlank="1" showInputMessage="1" showErrorMessage="1" prompt="More details are found in 'READ ME' tab" xr:uid="{3B2EFD59-C82A-4C21-BC7E-5967DA275EBD}">
          <x14:formula1>
            <xm:f>'READ ME'!$C$21:$C$29</xm:f>
          </x14:formula1>
          <xm:sqref>D12</xm:sqref>
        </x14:dataValidation>
        <x14:dataValidation type="list" allowBlank="1" showInputMessage="1" showErrorMessage="1" xr:uid="{F2D99DDC-1834-4945-A4B5-BD6659E600DE}">
          <x14:formula1>
            <xm:f>List!$X$6:$X$8</xm:f>
          </x14:formula1>
          <xm:sqref>D32</xm:sqref>
        </x14:dataValidation>
        <x14:dataValidation type="list" allowBlank="1" showInputMessage="1" showErrorMessage="1" xr:uid="{FCF60EDD-8723-4377-A8DE-0FD5E2B16B26}">
          <x14:formula1>
            <xm:f>List!$D$3:$D$17</xm:f>
          </x14:formula1>
          <xm:sqref>D10</xm:sqref>
        </x14:dataValidation>
        <x14:dataValidation type="list" allowBlank="1" showInputMessage="1" showErrorMessage="1" xr:uid="{76FA057E-DA0C-4011-B7C0-B5F22923686A}">
          <x14:formula1>
            <xm:f>List!$R$3:$R$6</xm:f>
          </x14:formula1>
          <xm:sqref>F69:F76</xm:sqref>
        </x14:dataValidation>
        <x14:dataValidation type="list" allowBlank="1" showInputMessage="1" showErrorMessage="1" xr:uid="{6F148484-592E-4739-AA3B-086D9F58AA6B}">
          <x14:formula1>
            <xm:f>List!$B$3:$B$25</xm:f>
          </x14:formula1>
          <xm:sqref>D7</xm:sqref>
        </x14:dataValidation>
        <x14:dataValidation type="list" allowBlank="1" showInputMessage="1" showErrorMessage="1" xr:uid="{514D6F72-5CFB-457A-96D1-251F32E68A05}">
          <x14:formula1>
            <xm:f>List!$F$3:$F$17</xm:f>
          </x14:formula1>
          <xm:sqref>D15:K16</xm:sqref>
        </x14:dataValidation>
        <x14:dataValidation type="list" allowBlank="1" showInputMessage="1" showErrorMessage="1" xr:uid="{CF760670-593A-41D1-8C54-DCBEC36DBEBD}">
          <x14:formula1>
            <xm:f>List!$X$2:$X$4</xm:f>
          </x14:formula1>
          <xm:sqref>D9:K9</xm:sqref>
        </x14:dataValidation>
        <x14:dataValidation type="list" allowBlank="1" showInputMessage="1" showErrorMessage="1" xr:uid="{EDECACFC-8F15-4C64-B465-E09030EB7C87}">
          <x14:formula1>
            <xm:f>List!$P$3:$P$13</xm:f>
          </x14:formula1>
          <xm:sqref>D69:E76</xm:sqref>
        </x14:dataValidation>
        <x14:dataValidation type="list" allowBlank="1" showInputMessage="1" showErrorMessage="1" xr:uid="{B0DBFE3B-5AB8-4599-A340-DC1026EACFA2}">
          <x14:formula1>
            <xm:f>List!$J$2:$J$74</xm:f>
          </x14:formula1>
          <xm:sqref>D49:E50</xm:sqref>
        </x14:dataValidation>
        <x14:dataValidation type="list" allowBlank="1" showInputMessage="1" showErrorMessage="1" xr:uid="{6024F62B-4B5B-4E7B-B1C0-DD051F3161C6}">
          <x14:formula1>
            <xm:f>List!$X$10:$X$13</xm:f>
          </x14:formula1>
          <xm:sqref>F21</xm:sqref>
        </x14:dataValidation>
        <x14:dataValidation type="list" allowBlank="1" showInputMessage="1" showErrorMessage="1" xr:uid="{67E90E8D-C3BA-4EE5-A845-0834B3E011DB}">
          <x14:formula1>
            <xm:f>List!$J$3:$J$68</xm:f>
          </x14:formula1>
          <xm:sqref>D51:E56</xm:sqref>
        </x14:dataValidation>
        <x14:dataValidation type="list" allowBlank="1" showInputMessage="1" showErrorMessage="1" xr:uid="{A6FE7F4B-BBEF-49DE-A822-524DD1038CE7}">
          <x14:formula1>
            <xm:f>List!$H$4:$H$15</xm:f>
          </x14:formula1>
          <xm:sqref>D28:K28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92"/>
  <sheetViews>
    <sheetView tabSelected="1" topLeftCell="B1" zoomScaleNormal="100" workbookViewId="0">
      <selection activeCell="B3" sqref="B3:O3"/>
    </sheetView>
  </sheetViews>
  <sheetFormatPr defaultColWidth="11" defaultRowHeight="15.75"/>
  <cols>
    <col min="1" max="1" width="4.875" customWidth="1"/>
    <col min="2" max="3" width="15.5" customWidth="1"/>
    <col min="4" max="4" width="13.625" customWidth="1"/>
    <col min="5" max="5" width="13.75" customWidth="1"/>
    <col min="6" max="6" width="10.875" customWidth="1"/>
    <col min="52" max="52" width="131" hidden="1" customWidth="1"/>
  </cols>
  <sheetData>
    <row r="1" spans="1:52" ht="21">
      <c r="B1" s="3" t="s">
        <v>270</v>
      </c>
      <c r="C1" s="1"/>
      <c r="D1" s="1"/>
      <c r="E1" s="1"/>
      <c r="F1" s="1"/>
      <c r="G1" s="1"/>
      <c r="H1" s="1"/>
      <c r="I1" s="1"/>
      <c r="J1" s="1"/>
      <c r="K1" s="1"/>
      <c r="L1" s="1"/>
      <c r="M1" s="1"/>
      <c r="N1" s="1"/>
      <c r="O1" s="1"/>
      <c r="AZ1" s="107"/>
    </row>
    <row r="2" spans="1:52" ht="29.25" customHeight="1" thickBot="1">
      <c r="A2" s="1"/>
      <c r="B2" s="1"/>
      <c r="C2" s="1"/>
      <c r="D2" s="1"/>
      <c r="E2" s="1"/>
      <c r="F2" s="1"/>
      <c r="G2" s="1"/>
      <c r="H2" s="1"/>
      <c r="I2" s="1"/>
      <c r="J2" s="1"/>
      <c r="K2" s="1"/>
      <c r="L2" s="1"/>
      <c r="M2" s="1"/>
      <c r="N2" s="1"/>
      <c r="O2" s="1"/>
      <c r="AZ2" s="107"/>
    </row>
    <row r="3" spans="1:52" ht="21">
      <c r="A3" s="1"/>
      <c r="B3" s="326" t="s">
        <v>271</v>
      </c>
      <c r="C3" s="327"/>
      <c r="D3" s="327"/>
      <c r="E3" s="327"/>
      <c r="F3" s="327"/>
      <c r="G3" s="327"/>
      <c r="H3" s="327"/>
      <c r="I3" s="327"/>
      <c r="J3" s="327"/>
      <c r="K3" s="327"/>
      <c r="L3" s="327"/>
      <c r="M3" s="327"/>
      <c r="N3" s="327"/>
      <c r="O3" s="328"/>
      <c r="AZ3" s="107"/>
    </row>
    <row r="4" spans="1:52" ht="16.5" thickBot="1">
      <c r="A4" s="1"/>
      <c r="B4" s="449" t="s">
        <v>170</v>
      </c>
      <c r="C4" s="450"/>
      <c r="D4" s="451">
        <f>IF('Data input'!D6="DD-MM-YYYY"," ",'Data input'!D6)</f>
        <v>43434</v>
      </c>
      <c r="E4" s="452"/>
      <c r="F4" s="452"/>
      <c r="G4" s="452"/>
      <c r="H4" s="452"/>
      <c r="I4" s="452"/>
      <c r="J4" s="452"/>
      <c r="K4" s="452"/>
      <c r="L4" s="452"/>
      <c r="M4" s="452"/>
      <c r="N4" s="452"/>
      <c r="O4" s="453"/>
      <c r="AZ4" s="107"/>
    </row>
    <row r="5" spans="1:52" ht="16.5" thickBot="1">
      <c r="A5" s="1"/>
      <c r="B5" s="454" t="s">
        <v>272</v>
      </c>
      <c r="C5" s="455"/>
      <c r="D5" s="456" t="s">
        <v>273</v>
      </c>
      <c r="E5" s="457"/>
      <c r="F5" s="457"/>
      <c r="G5" s="457"/>
      <c r="H5" s="457"/>
      <c r="I5" s="457"/>
      <c r="J5" s="457"/>
      <c r="K5" s="457"/>
      <c r="L5" s="457"/>
      <c r="M5" s="457"/>
      <c r="N5" s="457"/>
      <c r="O5" s="458"/>
      <c r="AZ5" s="107"/>
    </row>
    <row r="6" spans="1:52">
      <c r="A6" s="1"/>
      <c r="B6" s="331" t="s">
        <v>13</v>
      </c>
      <c r="C6" s="332"/>
      <c r="D6" s="459" t="str">
        <f>IF('Data input'!D7="Please select"," ",'Data input'!D7)</f>
        <v>Built environment</v>
      </c>
      <c r="E6" s="460"/>
      <c r="F6" s="460"/>
      <c r="G6" s="460"/>
      <c r="H6" s="460"/>
      <c r="I6" s="460"/>
      <c r="J6" s="460"/>
      <c r="K6" s="460"/>
      <c r="L6" s="460"/>
      <c r="M6" s="460"/>
      <c r="N6" s="460"/>
      <c r="O6" s="461"/>
      <c r="AZ6" s="107"/>
    </row>
    <row r="7" spans="1:52" ht="16.5" thickBot="1">
      <c r="A7" s="1"/>
      <c r="B7" s="333"/>
      <c r="C7" s="334"/>
      <c r="D7" s="462" t="str">
        <f>IF('Data input'!D8="Other (specify here)"," ",'Data input'!D8)</f>
        <v>Other sectors</v>
      </c>
      <c r="E7" s="463"/>
      <c r="F7" s="463"/>
      <c r="G7" s="463"/>
      <c r="H7" s="463"/>
      <c r="I7" s="463"/>
      <c r="J7" s="463"/>
      <c r="K7" s="463"/>
      <c r="L7" s="463"/>
      <c r="M7" s="463"/>
      <c r="N7" s="463"/>
      <c r="O7" s="464"/>
      <c r="AZ7" s="107"/>
    </row>
    <row r="8" spans="1:52" ht="16.5" thickBot="1">
      <c r="A8" s="1"/>
      <c r="B8" s="329" t="s">
        <v>17</v>
      </c>
      <c r="C8" s="330"/>
      <c r="D8" s="462" t="str">
        <f>IF('Data input'!D9="Please select"," ",'Data input'!D9)</f>
        <v>ETS</v>
      </c>
      <c r="E8" s="463"/>
      <c r="F8" s="463"/>
      <c r="G8" s="463"/>
      <c r="H8" s="463"/>
      <c r="I8" s="463"/>
      <c r="J8" s="463"/>
      <c r="K8" s="463"/>
      <c r="L8" s="463"/>
      <c r="M8" s="463"/>
      <c r="N8" s="463"/>
      <c r="O8" s="464"/>
      <c r="AZ8" s="107"/>
    </row>
    <row r="9" spans="1:52" ht="16.5" thickBot="1">
      <c r="A9" s="1"/>
      <c r="B9" s="329" t="s">
        <v>19</v>
      </c>
      <c r="C9" s="330"/>
      <c r="D9" s="462" t="str">
        <f>IF('Data input'!D10="Please select"," ",'Data input'!D10)</f>
        <v>CHP</v>
      </c>
      <c r="E9" s="463"/>
      <c r="F9" s="463"/>
      <c r="G9" s="463"/>
      <c r="H9" s="463"/>
      <c r="I9" s="463"/>
      <c r="J9" s="463"/>
      <c r="K9" s="463"/>
      <c r="L9" s="463"/>
      <c r="M9" s="463"/>
      <c r="N9" s="463"/>
      <c r="O9" s="464"/>
      <c r="AZ9" s="107"/>
    </row>
    <row r="10" spans="1:52" ht="286.5" customHeight="1" thickBot="1">
      <c r="A10" s="1"/>
      <c r="B10" s="465" t="s">
        <v>22</v>
      </c>
      <c r="C10" s="466"/>
      <c r="D10" s="467" t="str">
        <f>IF('Data input'!D11="Specify here"," ",'Data input'!D11)</f>
        <v xml:space="preserve">Working of the Technology:
A 'modern' natural gas-fired power plant can be a combined heat and power plant (CHP). In case of a combined cycle gas turbine/CCGT (Dutch: Stoom en Gasturbine/STEG) there is a gas turbine and steam turbine. In the first turbine, gas is expanded to drive the turbine. The second turbine, a steam turbine, is being driven by the residual heat of the gas turbine. Water is evaporated using heat from the waste heat recovery unit steam generator (heat exchanger) to produce high pressure steam which is expanded in a steam turbine to generate electricity using a generator. From the drain of a steam turbine, heat can be fed into a heat distribution network. Heat can be supplied to different sectors such as the built environment or industry. This factsheet focuses on a CHP plant that delivers heat to the built environment. A CHP plant without carbon capture and storage (CCS) is considered in this factsheet.
Main components:
Components of a gas-fired power plant for the production of electricity and district heating typically are an (inlet) air compressor,  gas turbine and generator, heat recovery boiler, economiser/heat exchanger (i.e. feedwater heaters; commonly used as part of a heat recovery steam generator in a combined cycle power plant), steam turbine(s) and generator, condensor, cooling technique, and flue gas cleaning equipment.
Energy production related aspects:
The downside of utilizing heat for district heating is that the electrical efficiency of the CHP plant is lowered (loss of electricity production) (ECN, 2011). Loss of electricity production (GJe/GJth supplied) depends on the temperature of heat disconnection. Figures about losses are included in this factsheet. 
Besides CO2 emissions, a STEG also emits NOx (Ecofys, 2014). A power plant is equipped with flue gas cleaners to limit NOx emissions. The flue gas cleaner is included in the costs presented in this factsheet.
</v>
      </c>
      <c r="E10" s="468"/>
      <c r="F10" s="468"/>
      <c r="G10" s="468"/>
      <c r="H10" s="468"/>
      <c r="I10" s="468"/>
      <c r="J10" s="468"/>
      <c r="K10" s="468"/>
      <c r="L10" s="468"/>
      <c r="M10" s="468"/>
      <c r="N10" s="468"/>
      <c r="O10" s="469"/>
      <c r="AZ10" s="107" t="str">
        <f>D10</f>
        <v xml:space="preserve">Working of the Technology:
A 'modern' natural gas-fired power plant can be a combined heat and power plant (CHP). In case of a combined cycle gas turbine/CCGT (Dutch: Stoom en Gasturbine/STEG) there is a gas turbine and steam turbine. In the first turbine, gas is expanded to drive the turbine. The second turbine, a steam turbine, is being driven by the residual heat of the gas turbine. Water is evaporated using heat from the waste heat recovery unit steam generator (heat exchanger) to produce high pressure steam which is expanded in a steam turbine to generate electricity using a generator. From the drain of a steam turbine, heat can be fed into a heat distribution network. Heat can be supplied to different sectors such as the built environment or industry. This factsheet focuses on a CHP plant that delivers heat to the built environment. A CHP plant without carbon capture and storage (CCS) is considered in this factsheet.
Main components:
Components of a gas-fired power plant for the production of electricity and district heating typically are an (inlet) air compressor,  gas turbine and generator, heat recovery boiler, economiser/heat exchanger (i.e. feedwater heaters; commonly used as part of a heat recovery steam generator in a combined cycle power plant), steam turbine(s) and generator, condensor, cooling technique, and flue gas cleaning equipment.
Energy production related aspects:
The downside of utilizing heat for district heating is that the electrical efficiency of the CHP plant is lowered (loss of electricity production) (ECN, 2011). Loss of electricity production (GJe/GJth supplied) depends on the temperature of heat disconnection. Figures about losses are included in this factsheet. 
Besides CO2 emissions, a STEG also emits NOx (Ecofys, 2014). A power plant is equipped with flue gas cleaners to limit NOx emissions. The flue gas cleaner is included in the costs presented in this factsheet.
</v>
      </c>
    </row>
    <row r="11" spans="1:52" ht="16.5" thickBot="1">
      <c r="A11" s="1"/>
      <c r="B11" s="454" t="s">
        <v>177</v>
      </c>
      <c r="C11" s="470"/>
      <c r="D11" s="471" t="str">
        <f>IF('Data input'!D12="Select the observed or expected TRL level in 2020"," ",'Data input'!D12)</f>
        <v>TRL 9</v>
      </c>
      <c r="E11" s="472"/>
      <c r="F11" s="472"/>
      <c r="G11" s="472"/>
      <c r="H11" s="472"/>
      <c r="I11" s="472"/>
      <c r="J11" s="472"/>
      <c r="K11" s="472"/>
      <c r="L11" s="472"/>
      <c r="M11" s="472"/>
      <c r="N11" s="472"/>
      <c r="O11" s="473"/>
      <c r="AZ11" s="107"/>
    </row>
    <row r="12" spans="1:52" ht="33" customHeight="1" thickBot="1">
      <c r="A12" s="1"/>
      <c r="B12" s="474"/>
      <c r="C12" s="475"/>
      <c r="D12" s="467" t="str">
        <f>IF('Data input'!D13="Explain here (add reference sources)"," ",'Data input'!D13)</f>
        <v>The technology is already being applied on a large-scale and can therefore be considered to be mature. A substantial amount of the installed capacity in the electricity sector in the Netherlands consists of gas-fired CHP (ECN, 2017b). Gas-fired CHP is one of the main heat sources for district heating in the Netherlands in 2015 (ECN, 2017a).</v>
      </c>
      <c r="E12" s="468"/>
      <c r="F12" s="468"/>
      <c r="G12" s="468"/>
      <c r="H12" s="468"/>
      <c r="I12" s="468"/>
      <c r="J12" s="468"/>
      <c r="K12" s="468"/>
      <c r="L12" s="468"/>
      <c r="M12" s="468"/>
      <c r="N12" s="468"/>
      <c r="O12" s="469"/>
      <c r="AZ12" s="107" t="str">
        <f>D12</f>
        <v>The technology is already being applied on a large-scale and can therefore be considered to be mature. A substantial amount of the installed capacity in the electricity sector in the Netherlands consists of gas-fired CHP (ECN, 2017b). Gas-fired CHP is one of the main heat sources for district heating in the Netherlands in 2015 (ECN, 2017a).</v>
      </c>
    </row>
    <row r="13" spans="1:52" ht="16.5" thickBot="1">
      <c r="A13" s="1"/>
      <c r="B13" s="314" t="s">
        <v>47</v>
      </c>
      <c r="C13" s="307"/>
      <c r="D13" s="307"/>
      <c r="E13" s="307"/>
      <c r="F13" s="307"/>
      <c r="G13" s="307"/>
      <c r="H13" s="307"/>
      <c r="I13" s="307"/>
      <c r="J13" s="307"/>
      <c r="K13" s="307"/>
      <c r="L13" s="307"/>
      <c r="M13" s="307"/>
      <c r="N13" s="307"/>
      <c r="O13" s="308"/>
      <c r="AZ13" s="107"/>
    </row>
    <row r="14" spans="1:52">
      <c r="A14" s="1"/>
      <c r="B14" s="331"/>
      <c r="C14" s="332"/>
      <c r="D14" s="337" t="s">
        <v>180</v>
      </c>
      <c r="E14" s="338"/>
      <c r="F14" s="339"/>
      <c r="G14" s="335" t="s">
        <v>274</v>
      </c>
      <c r="H14" s="309"/>
      <c r="I14" s="309"/>
      <c r="J14" s="309"/>
      <c r="K14" s="309"/>
      <c r="L14" s="309"/>
      <c r="M14" s="309"/>
      <c r="N14" s="336"/>
      <c r="O14" s="315"/>
      <c r="AZ14" s="107"/>
    </row>
    <row r="15" spans="1:52">
      <c r="A15" s="1"/>
      <c r="B15" s="345" t="s">
        <v>52</v>
      </c>
      <c r="C15" s="346"/>
      <c r="D15" s="355" t="str">
        <f>IF('Data input'!D18="Select Functional Unit above","",'Data input'!D18)</f>
        <v>MW</v>
      </c>
      <c r="E15" s="356"/>
      <c r="F15" s="357"/>
      <c r="G15" s="362">
        <f>'Data input'!G18</f>
        <v>500</v>
      </c>
      <c r="H15" s="363"/>
      <c r="I15" s="363"/>
      <c r="J15" s="363"/>
      <c r="K15" s="363"/>
      <c r="L15" s="363"/>
      <c r="M15" s="363"/>
      <c r="N15" s="364"/>
      <c r="O15" s="365"/>
      <c r="AZ15" s="107"/>
    </row>
    <row r="16" spans="1:52" ht="16.5" thickBot="1">
      <c r="A16" s="1"/>
      <c r="B16" s="86"/>
      <c r="C16" s="130"/>
      <c r="D16" s="358"/>
      <c r="E16" s="359"/>
      <c r="F16" s="360"/>
      <c r="G16" s="369">
        <f>IF('Data input'!G18="","Min",MIN('Data input'!G18:K18))</f>
        <v>200</v>
      </c>
      <c r="H16" s="370"/>
      <c r="I16" s="370"/>
      <c r="J16" s="371" t="s">
        <v>275</v>
      </c>
      <c r="K16" s="371"/>
      <c r="L16" s="371"/>
      <c r="M16" s="370">
        <f>IF('Data input'!G18="","Max",MAX('Data input'!G18:K18))</f>
        <v>900</v>
      </c>
      <c r="N16" s="372"/>
      <c r="O16" s="373"/>
      <c r="AZ16" s="107"/>
    </row>
    <row r="17" spans="1:52">
      <c r="A17" s="1"/>
      <c r="B17" s="87"/>
      <c r="C17" s="131"/>
      <c r="D17" s="351" t="str">
        <f>IF('Data input'!D21="Select Functional Unit above","",'Data input'!D21)</f>
        <v>MW</v>
      </c>
      <c r="E17" s="352"/>
      <c r="F17" s="374" t="str">
        <f>IF('Data input'!F21="Please select the region","",'Data input'!F21)</f>
        <v>NL</v>
      </c>
      <c r="G17" s="347" t="s">
        <v>276</v>
      </c>
      <c r="H17" s="309"/>
      <c r="I17" s="309"/>
      <c r="J17" s="309">
        <v>2030</v>
      </c>
      <c r="K17" s="309"/>
      <c r="L17" s="309"/>
      <c r="M17" s="309">
        <v>2050</v>
      </c>
      <c r="N17" s="309"/>
      <c r="O17" s="315"/>
      <c r="AZ17" s="107"/>
    </row>
    <row r="18" spans="1:52">
      <c r="A18" s="1"/>
      <c r="B18" s="87" t="s">
        <v>57</v>
      </c>
      <c r="C18" s="132"/>
      <c r="D18" s="353"/>
      <c r="E18" s="354"/>
      <c r="F18" s="375"/>
      <c r="G18" s="348">
        <f>'Data input'!G22</f>
        <v>0</v>
      </c>
      <c r="H18" s="310"/>
      <c r="I18" s="310"/>
      <c r="J18" s="310">
        <f>'Data input'!L22</f>
        <v>0</v>
      </c>
      <c r="K18" s="310"/>
      <c r="L18" s="310"/>
      <c r="M18" s="310">
        <f>'Data input'!Q22</f>
        <v>0</v>
      </c>
      <c r="N18" s="310"/>
      <c r="O18" s="322"/>
      <c r="AZ18" s="107"/>
    </row>
    <row r="19" spans="1:52" ht="16.5" thickBot="1">
      <c r="A19" s="1"/>
      <c r="B19" s="86"/>
      <c r="C19" s="130"/>
      <c r="D19" s="353"/>
      <c r="E19" s="354"/>
      <c r="F19" s="375"/>
      <c r="G19" s="104" t="str">
        <f>IF('Data input'!G22="","Min",MIN('Data input'!G22:K22))</f>
        <v>Min</v>
      </c>
      <c r="H19" s="133" t="s">
        <v>275</v>
      </c>
      <c r="I19" s="133" t="str">
        <f>IF('Data input'!G22="","Max",MAX('Data input'!G22:K22))</f>
        <v>Max</v>
      </c>
      <c r="J19" s="133" t="str">
        <f>IF('Data input'!L22="","Min",MIN('Data input'!L22:P22))</f>
        <v>Min</v>
      </c>
      <c r="K19" s="133" t="s">
        <v>275</v>
      </c>
      <c r="L19" s="133" t="str">
        <f>IF('Data input'!L22="","Max",MAX('Data input'!L22:P22))</f>
        <v>Max</v>
      </c>
      <c r="M19" s="133" t="str">
        <f>IF('Data input'!Q22="","Min",MIN('Data input'!Q22:U22))</f>
        <v>Min</v>
      </c>
      <c r="N19" s="133" t="s">
        <v>275</v>
      </c>
      <c r="O19" s="134" t="str">
        <f>IF('Data input'!Q22="","Max",MAX('Data input'!Q22:U22))</f>
        <v>Max</v>
      </c>
      <c r="AZ19" s="107"/>
    </row>
    <row r="20" spans="1:52">
      <c r="A20" s="1"/>
      <c r="B20" s="87" t="s">
        <v>192</v>
      </c>
      <c r="C20" s="132"/>
      <c r="D20" s="408" t="s">
        <v>193</v>
      </c>
      <c r="E20" s="409"/>
      <c r="F20" s="411" t="str">
        <f>IF('Data input'!F24="Specify here the market","",'Data input'!F24)</f>
        <v>Share of final heat demand built environment</v>
      </c>
      <c r="G20" s="349">
        <f>'Data input'!G24</f>
        <v>2</v>
      </c>
      <c r="H20" s="350"/>
      <c r="I20" s="350"/>
      <c r="J20" s="310">
        <f>'Data input'!L24</f>
        <v>0</v>
      </c>
      <c r="K20" s="310"/>
      <c r="L20" s="310"/>
      <c r="M20" s="310">
        <f>'Data input'!Q24</f>
        <v>0</v>
      </c>
      <c r="N20" s="310"/>
      <c r="O20" s="322"/>
      <c r="AZ20" s="107"/>
    </row>
    <row r="21" spans="1:52" ht="16.5" thickBot="1">
      <c r="A21" s="1"/>
      <c r="B21" s="87"/>
      <c r="C21" s="132"/>
      <c r="D21" s="358"/>
      <c r="E21" s="410"/>
      <c r="F21" s="412"/>
      <c r="G21" s="150">
        <f>IF('Data input'!G24="","Min",MIN('Data input'!G24:K24))</f>
        <v>2</v>
      </c>
      <c r="H21" s="151" t="s">
        <v>275</v>
      </c>
      <c r="I21" s="151">
        <f>IF('Data input'!G24="","Max",MAX('Data input'!G24:K24))</f>
        <v>2</v>
      </c>
      <c r="J21" s="135" t="str">
        <f>IF('Data input'!L24="","Min",MIN('Data input'!L24:P24))</f>
        <v>Min</v>
      </c>
      <c r="K21" s="135" t="s">
        <v>275</v>
      </c>
      <c r="L21" s="135" t="str">
        <f>IF('Data input'!L24="","Max",MAX('Data input'!L24:P24))</f>
        <v>Max</v>
      </c>
      <c r="M21" s="135" t="str">
        <f>IF('Data input'!Q24="","Min",MIN('Data input'!Q24:U24))</f>
        <v>Min</v>
      </c>
      <c r="N21" s="135" t="s">
        <v>275</v>
      </c>
      <c r="O21" s="136" t="str">
        <f>IF('Data input'!Q24="","Max",MAX('Data input'!Q24:U24))</f>
        <v>Max</v>
      </c>
      <c r="AZ21" s="107"/>
    </row>
    <row r="22" spans="1:52" ht="16.5" thickBot="1">
      <c r="A22" s="1"/>
      <c r="B22" s="340" t="s">
        <v>277</v>
      </c>
      <c r="C22" s="341"/>
      <c r="D22" s="342">
        <f>IF('Data input'!D26="Specify here (if not specified, value will be 1)",1,'Data input'!D26)</f>
        <v>0.8</v>
      </c>
      <c r="E22" s="343"/>
      <c r="F22" s="343"/>
      <c r="G22" s="343"/>
      <c r="H22" s="343"/>
      <c r="I22" s="343"/>
      <c r="J22" s="343"/>
      <c r="K22" s="343"/>
      <c r="L22" s="343"/>
      <c r="M22" s="343"/>
      <c r="N22" s="343"/>
      <c r="O22" s="344"/>
      <c r="AZ22" s="107"/>
    </row>
    <row r="23" spans="1:52" ht="16.5" thickBot="1">
      <c r="A23" s="1"/>
      <c r="B23" s="340" t="s">
        <v>69</v>
      </c>
      <c r="C23" s="341"/>
      <c r="D23" s="379">
        <f>IF('Data input'!D27="Specify here"," ",'Data input'!D27)</f>
        <v>7000</v>
      </c>
      <c r="E23" s="380"/>
      <c r="F23" s="380"/>
      <c r="G23" s="380"/>
      <c r="H23" s="380"/>
      <c r="I23" s="380"/>
      <c r="J23" s="380"/>
      <c r="K23" s="380"/>
      <c r="L23" s="380"/>
      <c r="M23" s="380"/>
      <c r="N23" s="380"/>
      <c r="O23" s="381"/>
      <c r="AZ23" s="107"/>
    </row>
    <row r="24" spans="1:52" ht="16.5" thickBot="1">
      <c r="A24" s="1"/>
      <c r="B24" s="340" t="s">
        <v>71</v>
      </c>
      <c r="C24" s="341"/>
      <c r="D24" s="112" t="str">
        <f>IF('Data input'!D28="Please select"," ",'Data input'!D28)</f>
        <v>PJe/year</v>
      </c>
      <c r="E24" s="392">
        <f>IF('Data input'!D29="Specify here"," ",'Data input'!D29)</f>
        <v>12.6</v>
      </c>
      <c r="F24" s="393"/>
      <c r="G24" s="393"/>
      <c r="H24" s="393"/>
      <c r="I24" s="393"/>
      <c r="J24" s="393"/>
      <c r="K24" s="393"/>
      <c r="L24" s="393"/>
      <c r="M24" s="393"/>
      <c r="N24" s="393"/>
      <c r="O24" s="394"/>
      <c r="AZ24" s="107"/>
    </row>
    <row r="25" spans="1:52" ht="16.5" thickBot="1">
      <c r="A25" s="1"/>
      <c r="B25" s="340" t="s">
        <v>79</v>
      </c>
      <c r="C25" s="341"/>
      <c r="D25" s="376">
        <f>IF('Data input'!D30="Specify here"," ",'Data input'!D30)</f>
        <v>30</v>
      </c>
      <c r="E25" s="377"/>
      <c r="F25" s="377"/>
      <c r="G25" s="377"/>
      <c r="H25" s="377"/>
      <c r="I25" s="377"/>
      <c r="J25" s="377"/>
      <c r="K25" s="377"/>
      <c r="L25" s="377"/>
      <c r="M25" s="377"/>
      <c r="N25" s="377"/>
      <c r="O25" s="378"/>
      <c r="AZ25" s="107"/>
    </row>
    <row r="26" spans="1:52" ht="16.5" thickBot="1">
      <c r="A26" s="1"/>
      <c r="B26" s="340" t="s">
        <v>81</v>
      </c>
      <c r="C26" s="341"/>
      <c r="D26" s="382">
        <f>IF('Data input'!D31="Specify here"," ",'Data input'!D31)</f>
        <v>0</v>
      </c>
      <c r="E26" s="383"/>
      <c r="F26" s="383"/>
      <c r="G26" s="383"/>
      <c r="H26" s="383"/>
      <c r="I26" s="383"/>
      <c r="J26" s="383"/>
      <c r="K26" s="383"/>
      <c r="L26" s="383"/>
      <c r="M26" s="383"/>
      <c r="N26" s="383"/>
      <c r="O26" s="384"/>
      <c r="AZ26" s="107"/>
    </row>
    <row r="27" spans="1:52" ht="16.5" thickBot="1">
      <c r="A27" s="1"/>
      <c r="B27" s="340" t="s">
        <v>83</v>
      </c>
      <c r="C27" s="341"/>
      <c r="D27" s="389" t="str">
        <f>IF('Data input'!D32="Please select"," ",'Data input'!D32)</f>
        <v>Yes</v>
      </c>
      <c r="E27" s="390"/>
      <c r="F27" s="390"/>
      <c r="G27" s="390"/>
      <c r="H27" s="390"/>
      <c r="I27" s="390"/>
      <c r="J27" s="390"/>
      <c r="K27" s="390"/>
      <c r="L27" s="390"/>
      <c r="M27" s="390"/>
      <c r="N27" s="390"/>
      <c r="O27" s="391"/>
      <c r="AZ27" s="107"/>
    </row>
    <row r="28" spans="1:52" ht="398.25" customHeight="1" thickBot="1">
      <c r="A28" s="1"/>
      <c r="B28" s="387" t="s">
        <v>198</v>
      </c>
      <c r="C28" s="388"/>
      <c r="D28" s="467" t="str">
        <f>IF('Data input'!D33="Explain here (e.g. other technical dimensions, region covered for potential such as NL or EU)"," ",'Data input'!D33)</f>
        <v xml:space="preserve">Typical Electric and Heat Capacity Of Gas-fired Power Plants
The electrical capacity of most STEG plants in different OECD countries ranges between 280 and 900MWe (IEA, 2015). In the Netherlands the electrical capacity of STEG plants ranges between 200 and 900MWe (Ecofys, 2014). Here, 500 MWe is taken as an average.
Full load hours per year for electricity production are case-dependent. It depends strongly on the position of these plants within the electricity market (ECN, 2017b). The increasing share of intermittent renewable electricity generation may decrease full load hours, because  plants do not have to operate when there is sufficient production from renewable sources (ECN, 2019). Gas-fired CHP could then provide back-up capacity. From a general historical perspective, a gas-fired CHP plant used for district heating typically runs as base load plant for electricity production; 6.000 to 8.000 full load hours per year (ECN, 2010; Gasterra, 2008). In case of 7.000 full loads hours this translates to a capacity utilitization factor of 80%. Indeed, IEA (2010) indicates 75 to 85% as capacity utilization factor for a CCGT CHP (IEA ETSAP, 2010). A CHP plant with a capacity of 500 MWe and 7.000 full load hours produces 12,6 PJe per year. Full load hours for heat delivery are not the same. Indeed, heat demand peaks in winter and in other seasons there is a (much) lower heat demand. Heat is available when the plant produces electricity, but due to limited overlap with the heat demand only 30 to 45% of the available heat can be supplied per year (ECN, 2011). 
For example, consider a large scale district heating network that supplies about 1 PJth per year, as average for the Netherlands (ECN, 2017a). About 25% heat losses can be assumed in a heat network (ECN, 2017a). This means the heat source needs to produce about 1,3 PJth per year. Assuming 4.500 full load hours (Energy Matters, 2012), the needed thermal output capacity for district heating is 82MWth.
A minimum heat disconnection capacity for district heating is 10MWth (Ecofys, 2014).
Heat Supply by Gas-fired Power Plants In The Netherlands
About 4% of the final heat demand in the built environment (463 PJ in 2015 based on ECN, 2017a) in the Netherlands is supplied with district heating in 2015 (ECN, 2017a). In 2015, 67% of final heat demand of large scale heat networks (18 PJ) is supplied by (natural gas and coal fired) CHP plants, this figure is also including small gas-fired CHP units (ECN, 2017a). Excluding heat supplied by coal-fired CHP (2,7 PJ in 2015 based on ECN, 2017a), this results in a share of about 2% for gas-fired CHP plants in the final heat demand of the built environment. This share is expected to decrease as the share of sustainable heat goes up.
Technical Lifetime Gas-fired Power Plants
ETRI indicates a technical lifetime of 30 years for a CCGT CHP (ETRI, 2014). ECN indicates a technical lifetime of 30 years for a gas-fired CHP (ECN, 2011). IEA (2010) indicates a technical lifetime of 25 years for a CCGT CHP (IEA ETSAP, 2010).
</v>
      </c>
      <c r="E28" s="468"/>
      <c r="F28" s="468"/>
      <c r="G28" s="468"/>
      <c r="H28" s="468"/>
      <c r="I28" s="468"/>
      <c r="J28" s="468"/>
      <c r="K28" s="468"/>
      <c r="L28" s="468"/>
      <c r="M28" s="468"/>
      <c r="N28" s="468"/>
      <c r="O28" s="469"/>
      <c r="AZ28" s="107" t="str">
        <f>D28</f>
        <v xml:space="preserve">Typical Electric and Heat Capacity Of Gas-fired Power Plants
The electrical capacity of most STEG plants in different OECD countries ranges between 280 and 900MWe (IEA, 2015). In the Netherlands the electrical capacity of STEG plants ranges between 200 and 900MWe (Ecofys, 2014). Here, 500 MWe is taken as an average.
Full load hours per year for electricity production are case-dependent. It depends strongly on the position of these plants within the electricity market (ECN, 2017b). The increasing share of intermittent renewable electricity generation may decrease full load hours, because  plants do not have to operate when there is sufficient production from renewable sources (ECN, 2019). Gas-fired CHP could then provide back-up capacity. From a general historical perspective, a gas-fired CHP plant used for district heating typically runs as base load plant for electricity production; 6.000 to 8.000 full load hours per year (ECN, 2010; Gasterra, 2008). In case of 7.000 full loads hours this translates to a capacity utilitization factor of 80%. Indeed, IEA (2010) indicates 75 to 85% as capacity utilization factor for a CCGT CHP (IEA ETSAP, 2010). A CHP plant with a capacity of 500 MWe and 7.000 full load hours produces 12,6 PJe per year. Full load hours for heat delivery are not the same. Indeed, heat demand peaks in winter and in other seasons there is a (much) lower heat demand. Heat is available when the plant produces electricity, but due to limited overlap with the heat demand only 30 to 45% of the available heat can be supplied per year (ECN, 2011). 
For example, consider a large scale district heating network that supplies about 1 PJth per year, as average for the Netherlands (ECN, 2017a). About 25% heat losses can be assumed in a heat network (ECN, 2017a). This means the heat source needs to produce about 1,3 PJth per year. Assuming 4.500 full load hours (Energy Matters, 2012), the needed thermal output capacity for district heating is 82MWth.
A minimum heat disconnection capacity for district heating is 10MWth (Ecofys, 2014).
Heat Supply by Gas-fired Power Plants In The Netherlands
About 4% of the final heat demand in the built environment (463 PJ in 2015 based on ECN, 2017a) in the Netherlands is supplied with district heating in 2015 (ECN, 2017a). In 2015, 67% of final heat demand of large scale heat networks (18 PJ) is supplied by (natural gas and coal fired) CHP plants, this figure is also including small gas-fired CHP units (ECN, 2017a). Excluding heat supplied by coal-fired CHP (2,7 PJ in 2015 based on ECN, 2017a), this results in a share of about 2% for gas-fired CHP plants in the final heat demand of the built environment. This share is expected to decrease as the share of sustainable heat goes up.
Technical Lifetime Gas-fired Power Plants
ETRI indicates a technical lifetime of 30 years for a CCGT CHP (ETRI, 2014). ECN indicates a technical lifetime of 30 years for a gas-fired CHP (ECN, 2011). IEA (2010) indicates a technical lifetime of 25 years for a CCGT CHP (IEA ETSAP, 2010).
</v>
      </c>
    </row>
    <row r="29" spans="1:52" ht="16.5" thickBot="1">
      <c r="A29" s="1"/>
      <c r="B29" s="305" t="s">
        <v>86</v>
      </c>
      <c r="C29" s="306"/>
      <c r="D29" s="306"/>
      <c r="E29" s="306"/>
      <c r="F29" s="306"/>
      <c r="G29" s="306"/>
      <c r="H29" s="306"/>
      <c r="I29" s="306"/>
      <c r="J29" s="306"/>
      <c r="K29" s="306"/>
      <c r="L29" s="306"/>
      <c r="M29" s="306"/>
      <c r="N29" s="306"/>
      <c r="O29" s="361"/>
      <c r="AZ29" s="107"/>
    </row>
    <row r="30" spans="1:52" ht="16.5" thickBot="1">
      <c r="A30" s="1"/>
      <c r="B30" s="476" t="s">
        <v>87</v>
      </c>
      <c r="C30" s="477"/>
      <c r="D30" s="478">
        <v>2015</v>
      </c>
      <c r="E30" s="479"/>
      <c r="F30" s="479"/>
      <c r="G30" s="479"/>
      <c r="H30" s="479"/>
      <c r="I30" s="479"/>
      <c r="J30" s="479"/>
      <c r="K30" s="479"/>
      <c r="L30" s="479"/>
      <c r="M30" s="479"/>
      <c r="N30" s="479"/>
      <c r="O30" s="480"/>
      <c r="AZ30" s="107"/>
    </row>
    <row r="31" spans="1:52">
      <c r="A31" s="1"/>
      <c r="B31" s="481" t="s">
        <v>90</v>
      </c>
      <c r="C31" s="482"/>
      <c r="D31" s="366" t="s">
        <v>278</v>
      </c>
      <c r="E31" s="367"/>
      <c r="F31" s="368"/>
      <c r="G31" s="309" t="s">
        <v>276</v>
      </c>
      <c r="H31" s="309"/>
      <c r="I31" s="309"/>
      <c r="J31" s="309">
        <v>2030</v>
      </c>
      <c r="K31" s="309"/>
      <c r="L31" s="309"/>
      <c r="M31" s="309">
        <v>2050</v>
      </c>
      <c r="N31" s="309"/>
      <c r="O31" s="315"/>
      <c r="AZ31" s="107"/>
    </row>
    <row r="32" spans="1:52">
      <c r="A32" s="1"/>
      <c r="B32" s="483"/>
      <c r="C32" s="484"/>
      <c r="D32" s="385" t="s">
        <v>202</v>
      </c>
      <c r="E32" s="287" t="str">
        <f>IF('Data input'!D15="Please select"," ",'Data input'!D15)</f>
        <v>MW</v>
      </c>
      <c r="F32" s="257"/>
      <c r="G32" s="323">
        <f>'Data input'!G37</f>
        <v>1.01</v>
      </c>
      <c r="H32" s="310"/>
      <c r="I32" s="310"/>
      <c r="J32" s="310">
        <f>'Data input'!L37</f>
        <v>1</v>
      </c>
      <c r="K32" s="310"/>
      <c r="L32" s="310"/>
      <c r="M32" s="310">
        <f>'Data input'!Q37</f>
        <v>0.98</v>
      </c>
      <c r="N32" s="310"/>
      <c r="O32" s="322"/>
      <c r="AZ32" s="107"/>
    </row>
    <row r="33" spans="1:52" ht="16.5" thickBot="1">
      <c r="A33" s="1"/>
      <c r="B33" s="485"/>
      <c r="C33" s="486"/>
      <c r="D33" s="386"/>
      <c r="E33" s="288"/>
      <c r="F33" s="259"/>
      <c r="G33" s="137">
        <f>IF('Data input'!G37="","Min",MIN('Data input'!G37:K37))</f>
        <v>0.87</v>
      </c>
      <c r="H33" s="133" t="s">
        <v>275</v>
      </c>
      <c r="I33" s="133">
        <f>IF('Data input'!G37="","Max",MAX('Data input'!G37:K37))</f>
        <v>1.22</v>
      </c>
      <c r="J33" s="133">
        <f>IF('Data input'!L37="","Min",MIN('Data input'!L37:P37))</f>
        <v>0.85</v>
      </c>
      <c r="K33" s="133" t="s">
        <v>275</v>
      </c>
      <c r="L33" s="133">
        <f>IF('Data input'!L37="","Max",MAX('Data input'!L37:P37))</f>
        <v>1.19</v>
      </c>
      <c r="M33" s="133">
        <f>IF('Data input'!Q37="","Min",MIN('Data input'!Q37:U37))</f>
        <v>0.83</v>
      </c>
      <c r="N33" s="133" t="s">
        <v>275</v>
      </c>
      <c r="O33" s="134">
        <f>IF('Data input'!Q37="","Max",MAX('Data input'!Q37:U37))</f>
        <v>1.1599999999999999</v>
      </c>
      <c r="AZ33" s="107"/>
    </row>
    <row r="34" spans="1:52">
      <c r="A34" s="1"/>
      <c r="B34" s="487" t="s">
        <v>206</v>
      </c>
      <c r="C34" s="488"/>
      <c r="D34" s="385" t="s">
        <v>202</v>
      </c>
      <c r="E34" s="287" t="str">
        <f>IF('Data input'!D15="Please select"," ",'Data input'!D15)</f>
        <v>MW</v>
      </c>
      <c r="F34" s="257"/>
      <c r="G34" s="310">
        <f>'Data input'!G39</f>
        <v>0</v>
      </c>
      <c r="H34" s="310"/>
      <c r="I34" s="310"/>
      <c r="J34" s="310">
        <f>'Data input'!L39</f>
        <v>0</v>
      </c>
      <c r="K34" s="310"/>
      <c r="L34" s="310"/>
      <c r="M34" s="310">
        <f>'Data input'!Q39</f>
        <v>0</v>
      </c>
      <c r="N34" s="310"/>
      <c r="O34" s="322"/>
      <c r="AZ34" s="107"/>
    </row>
    <row r="35" spans="1:52" ht="16.5" thickBot="1">
      <c r="A35" s="1"/>
      <c r="B35" s="489"/>
      <c r="C35" s="490"/>
      <c r="D35" s="386"/>
      <c r="E35" s="288"/>
      <c r="F35" s="259"/>
      <c r="G35" s="137" t="str">
        <f>IF('Data input'!G39="","Min",MIN('Data input'!G39:K39))</f>
        <v>Min</v>
      </c>
      <c r="H35" s="133" t="s">
        <v>275</v>
      </c>
      <c r="I35" s="133" t="str">
        <f>IF('Data input'!G39="","Max",MAX('Data input'!G39:K39))</f>
        <v>Max</v>
      </c>
      <c r="J35" s="133" t="str">
        <f>IF('Data input'!L39="","Min",MIN('Data input'!L39:P39))</f>
        <v>Min</v>
      </c>
      <c r="K35" s="133" t="s">
        <v>275</v>
      </c>
      <c r="L35" s="133" t="str">
        <f>IF('Data input'!L39="","Max",MAX('Data input'!L39:P39))</f>
        <v>Max</v>
      </c>
      <c r="M35" s="133" t="str">
        <f>IF('Data input'!Q39="","Min",MIN('Data input'!Q39:U39))</f>
        <v>Min</v>
      </c>
      <c r="N35" s="133" t="s">
        <v>275</v>
      </c>
      <c r="O35" s="134" t="str">
        <f>IF('Data input'!Q39="","Max",MAX('Data input'!Q39:U39))</f>
        <v>Max</v>
      </c>
      <c r="AZ35" s="107"/>
    </row>
    <row r="36" spans="1:52">
      <c r="A36" s="1"/>
      <c r="B36" s="481" t="s">
        <v>279</v>
      </c>
      <c r="C36" s="482"/>
      <c r="D36" s="385" t="s">
        <v>202</v>
      </c>
      <c r="E36" s="287" t="str">
        <f>IF('Data input'!D15="Please select"," ",'Data input'!D15)</f>
        <v>MW</v>
      </c>
      <c r="F36" s="257"/>
      <c r="G36" s="310">
        <f>'Data input'!G41</f>
        <v>0.05</v>
      </c>
      <c r="H36" s="310"/>
      <c r="I36" s="310"/>
      <c r="J36" s="310">
        <f>'Data input'!L41</f>
        <v>0.05</v>
      </c>
      <c r="K36" s="310"/>
      <c r="L36" s="310"/>
      <c r="M36" s="310">
        <f>'Data input'!Q41</f>
        <v>0.05</v>
      </c>
      <c r="N36" s="310"/>
      <c r="O36" s="322"/>
      <c r="AZ36" s="107"/>
    </row>
    <row r="37" spans="1:52" ht="16.5" thickBot="1">
      <c r="A37" s="1"/>
      <c r="B37" s="485"/>
      <c r="C37" s="486"/>
      <c r="D37" s="386"/>
      <c r="E37" s="288"/>
      <c r="F37" s="259"/>
      <c r="G37" s="137">
        <f>IF('Data input'!G41="","Min",MIN('Data input'!G41:K41))</f>
        <v>0</v>
      </c>
      <c r="H37" s="133" t="s">
        <v>275</v>
      </c>
      <c r="I37" s="133">
        <f>IF('Data input'!G41="","Max",MAX('Data input'!G41:K41))</f>
        <v>0.06</v>
      </c>
      <c r="J37" s="133">
        <f>IF('Data input'!L41="","Min",MIN('Data input'!L41:P41))</f>
        <v>0.04</v>
      </c>
      <c r="K37" s="133" t="s">
        <v>275</v>
      </c>
      <c r="L37" s="133">
        <f>IF('Data input'!L41="","Max",MAX('Data input'!L41:P41))</f>
        <v>0.06</v>
      </c>
      <c r="M37" s="133">
        <f>IF('Data input'!Q41="","Min",MIN('Data input'!Q41:U41))</f>
        <v>0.04</v>
      </c>
      <c r="N37" s="133" t="s">
        <v>275</v>
      </c>
      <c r="O37" s="134">
        <f>IF('Data input'!Q41="","Max",MAX('Data input'!Q41:U41))</f>
        <v>0.06</v>
      </c>
      <c r="AZ37" s="107"/>
    </row>
    <row r="38" spans="1:52">
      <c r="A38" s="1"/>
      <c r="B38" s="481" t="s">
        <v>280</v>
      </c>
      <c r="C38" s="482"/>
      <c r="D38" s="385" t="s">
        <v>202</v>
      </c>
      <c r="E38" s="287" t="str">
        <f>IF('Data input'!D15="Please select"," ",'Data input'!D15)</f>
        <v>MW</v>
      </c>
      <c r="F38" s="257"/>
      <c r="G38" s="310">
        <f>'Data input'!G43</f>
        <v>0.03</v>
      </c>
      <c r="H38" s="310"/>
      <c r="I38" s="310"/>
      <c r="J38" s="310">
        <f>'Data input'!L43</f>
        <v>0.03</v>
      </c>
      <c r="K38" s="310"/>
      <c r="L38" s="310"/>
      <c r="M38" s="310">
        <f>'Data input'!Q43</f>
        <v>0.03</v>
      </c>
      <c r="N38" s="310"/>
      <c r="O38" s="322"/>
      <c r="AZ38" s="107"/>
    </row>
    <row r="39" spans="1:52" ht="16.5" thickBot="1">
      <c r="A39" s="1"/>
      <c r="B39" s="485"/>
      <c r="C39" s="486"/>
      <c r="D39" s="398"/>
      <c r="E39" s="395"/>
      <c r="F39" s="396"/>
      <c r="G39" s="138">
        <f>IF('Data input'!G43="","Min",MIN('Data input'!G43:K43))</f>
        <v>0.02</v>
      </c>
      <c r="H39" s="135" t="s">
        <v>275</v>
      </c>
      <c r="I39" s="135">
        <f>IF('Data input'!G43="","Max",MAX('Data input'!G43:K43))</f>
        <v>0.03</v>
      </c>
      <c r="J39" s="135">
        <f>IF('Data input'!L43="","Min",MIN('Data input'!L43:P43))</f>
        <v>0.03</v>
      </c>
      <c r="K39" s="135" t="s">
        <v>275</v>
      </c>
      <c r="L39" s="135">
        <f>IF('Data input'!L43="","Max",MAX('Data input'!L43:P43))</f>
        <v>0.03</v>
      </c>
      <c r="M39" s="135">
        <f>IF('Data input'!Q43="","Min",MIN('Data input'!Q43:U43))</f>
        <v>0.03</v>
      </c>
      <c r="N39" s="135" t="s">
        <v>275</v>
      </c>
      <c r="O39" s="136">
        <f>IF('Data input'!Q43="","Max",MAX('Data input'!Q43:U43))</f>
        <v>0.03</v>
      </c>
      <c r="AZ39" s="107"/>
    </row>
    <row r="40" spans="1:52" ht="384.75" customHeight="1" thickBot="1">
      <c r="A40" s="1"/>
      <c r="B40" s="449" t="s">
        <v>209</v>
      </c>
      <c r="C40" s="491"/>
      <c r="D40" s="492" t="str">
        <f>IF('Data input'!D45="Explain here (e.g. other costs)"," ",'Data input'!D45)</f>
        <v xml:space="preserve">Overview:
The ETRI (2014), Energy Matters (2012), IEA ETSAP (2010) and PBL (2017) and ECN (2011) reports provide information on gas-fired CHP' investment costs/capital expense (CAPEX), fixed operational costs (FOM), and variable operational costs (VOM). Costs are described for different capacity levels expressed per unit of capacity.
Costs explanation per source:
•	ETRI (2014) indicates the CAPEX of a CCGT advanced CHP (ETRI, 2014). ETRI indicates a CAPEX of 870-1210 €/kWe for the plant in 2020, a CAPEX of 850-1180 €/kWe for the plant in 2030 and a CAPEX of 830-1150 €/kWe for the plant in 2050. The FOM costs per year in 2020, 2030 and 2050 amount to 5,2% of the CAPEX, namely 3,9% for FOM and 1,3% for FOM refurbishment (ETRI, 2014). The VOM costs per year in 2020, 2030 and 2050 amount to 4 €/MWh (ETRI, 2014) and these are converted to €/MWe assuming 7.000 full load hours per year. In the CAPEX the following cost components are included (ETRI, 2014): Civil and structural costs, Major equipment costs, Electrical and I&amp;C supply and installation, Project indirect costs, Development costs and Interconnection costs. Costs not included are: Balance of plant costs and Insurance costs (ETRI, 2014).
• Energy Matters (2012) indicates investment costs of a STEG with capacity of 120MWe (Energy Matters, 2012). Energy Matters indicates an investment of 1.050 euros/kWe. CAPEX ncludes Civil and structural costs, Major equipment costs including heat disconnection costs. Fixed operational costs are zero (Energy Matters, 2012). Variable costs per year are 2,52 Million Euros per year (Energy Matters, 2012). This plant is used for electricity production and disctrict heating. 
• According to the IEA (2010) the investment cost of CCGT CHP plant (including indirect costs or IDC) is in the range of $1100 to $1800/kWe , which is 10-45% higher than the cost of a power plant, depending  on the capacity of the plant (IEA ETSAP, 2010).  Typical investment costs amount to $1300/kWe (inc. IDC). The O&amp;M costs, which are given as the total of fixed and variable, are in the range of $40/kWe to $60/kWe per year (typically $50/kWe). According to the IEA (2010) projection, incremental improvements and technology learning may lead to investment cost of $1200/kWe by 2020 and $1100/kWe by 2030 (IEA ETSAP, 2010). 
When a CHP plant supplies heat to a heat network for the first time, there are additional investment costs for heat disconnection:
• PBL (2017) indicates an investment of 150-175 euros2017/kWth,output (PBL, 2017). The costs consist of the investment/CAPEX for heat disconnection (Dutch: 'kosten warmteuitkoppeling'). The fixed operational costs per year are 5% of the investment.
• ECN (2011) indicates an investment of 300 euros2011/kWth,output (ECN, 2011). The costs indicated consist of the investment/CAPEX for heat disconnection (Dutch: 'kosten warmteuitkoppeling'). 
</v>
      </c>
      <c r="E40" s="493"/>
      <c r="F40" s="493"/>
      <c r="G40" s="493"/>
      <c r="H40" s="493"/>
      <c r="I40" s="493"/>
      <c r="J40" s="493"/>
      <c r="K40" s="493"/>
      <c r="L40" s="493"/>
      <c r="M40" s="493"/>
      <c r="N40" s="493"/>
      <c r="O40" s="494"/>
      <c r="AZ40" s="107" t="str">
        <f>D40</f>
        <v xml:space="preserve">Overview:
The ETRI (2014), Energy Matters (2012), IEA ETSAP (2010) and PBL (2017) and ECN (2011) reports provide information on gas-fired CHP' investment costs/capital expense (CAPEX), fixed operational costs (FOM), and variable operational costs (VOM). Costs are described for different capacity levels expressed per unit of capacity.
Costs explanation per source:
•	ETRI (2014) indicates the CAPEX of a CCGT advanced CHP (ETRI, 2014). ETRI indicates a CAPEX of 870-1210 €/kWe for the plant in 2020, a CAPEX of 850-1180 €/kWe for the plant in 2030 and a CAPEX of 830-1150 €/kWe for the plant in 2050. The FOM costs per year in 2020, 2030 and 2050 amount to 5,2% of the CAPEX, namely 3,9% for FOM and 1,3% for FOM refurbishment (ETRI, 2014). The VOM costs per year in 2020, 2030 and 2050 amount to 4 €/MWh (ETRI, 2014) and these are converted to €/MWe assuming 7.000 full load hours per year. In the CAPEX the following cost components are included (ETRI, 2014): Civil and structural costs, Major equipment costs, Electrical and I&amp;C supply and installation, Project indirect costs, Development costs and Interconnection costs. Costs not included are: Balance of plant costs and Insurance costs (ETRI, 2014).
• Energy Matters (2012) indicates investment costs of a STEG with capacity of 120MWe (Energy Matters, 2012). Energy Matters indicates an investment of 1.050 euros/kWe. CAPEX ncludes Civil and structural costs, Major equipment costs including heat disconnection costs. Fixed operational costs are zero (Energy Matters, 2012). Variable costs per year are 2,52 Million Euros per year (Energy Matters, 2012). This plant is used for electricity production and disctrict heating. 
• According to the IEA (2010) the investment cost of CCGT CHP plant (including indirect costs or IDC) is in the range of $1100 to $1800/kWe , which is 10-45% higher than the cost of a power plant, depending  on the capacity of the plant (IEA ETSAP, 2010).  Typical investment costs amount to $1300/kWe (inc. IDC). The O&amp;M costs, which are given as the total of fixed and variable, are in the range of $40/kWe to $60/kWe per year (typically $50/kWe). According to the IEA (2010) projection, incremental improvements and technology learning may lead to investment cost of $1200/kWe by 2020 and $1100/kWe by 2030 (IEA ETSAP, 2010). 
When a CHP plant supplies heat to a heat network for the first time, there are additional investment costs for heat disconnection:
• PBL (2017) indicates an investment of 150-175 euros2017/kWth,output (PBL, 2017). The costs consist of the investment/CAPEX for heat disconnection (Dutch: 'kosten warmteuitkoppeling'). The fixed operational costs per year are 5% of the investment.
• ECN (2011) indicates an investment of 300 euros2011/kWth,output (ECN, 2011). The costs indicated consist of the investment/CAPEX for heat disconnection (Dutch: 'kosten warmteuitkoppeling'). 
</v>
      </c>
    </row>
    <row r="41" spans="1:52" ht="16.5" thickBot="1">
      <c r="A41" s="1"/>
      <c r="B41" s="324" t="s">
        <v>104</v>
      </c>
      <c r="C41" s="325"/>
      <c r="D41" s="312"/>
      <c r="E41" s="312"/>
      <c r="F41" s="312"/>
      <c r="G41" s="312"/>
      <c r="H41" s="312"/>
      <c r="I41" s="312"/>
      <c r="J41" s="312"/>
      <c r="K41" s="312"/>
      <c r="L41" s="312"/>
      <c r="M41" s="312"/>
      <c r="N41" s="312"/>
      <c r="O41" s="313"/>
      <c r="AZ41" s="107"/>
    </row>
    <row r="42" spans="1:52">
      <c r="A42" s="1"/>
      <c r="B42" s="481" t="s">
        <v>214</v>
      </c>
      <c r="C42" s="482"/>
      <c r="D42" s="366" t="s">
        <v>212</v>
      </c>
      <c r="E42" s="368"/>
      <c r="F42" s="161" t="s">
        <v>213</v>
      </c>
      <c r="G42" s="309" t="s">
        <v>276</v>
      </c>
      <c r="H42" s="309"/>
      <c r="I42" s="309"/>
      <c r="J42" s="309">
        <v>2030</v>
      </c>
      <c r="K42" s="309"/>
      <c r="L42" s="309"/>
      <c r="M42" s="309">
        <v>2050</v>
      </c>
      <c r="N42" s="309"/>
      <c r="O42" s="315"/>
      <c r="AZ42" s="107"/>
    </row>
    <row r="43" spans="1:52">
      <c r="A43" s="1"/>
      <c r="B43" s="483"/>
      <c r="C43" s="484"/>
      <c r="D43" s="413" t="s">
        <v>281</v>
      </c>
      <c r="E43" s="414"/>
      <c r="F43" s="272" t="s">
        <v>145</v>
      </c>
      <c r="G43" s="323">
        <f>'Data input'!G49</f>
        <v>-1</v>
      </c>
      <c r="H43" s="310"/>
      <c r="I43" s="310"/>
      <c r="J43" s="323">
        <f>'Data input'!L49</f>
        <v>-1</v>
      </c>
      <c r="K43" s="310"/>
      <c r="L43" s="310"/>
      <c r="M43" s="310">
        <f>'Data input'!Q49</f>
        <v>-1</v>
      </c>
      <c r="N43" s="310"/>
      <c r="O43" s="322"/>
      <c r="P43" s="78"/>
      <c r="AZ43" s="107"/>
    </row>
    <row r="44" spans="1:52">
      <c r="A44" s="1"/>
      <c r="B44" s="483"/>
      <c r="C44" s="484"/>
      <c r="D44" s="495" t="str">
        <f>IF('Data input'!D49="Please select main output here"," ",'Data input'!D49)</f>
        <v>Electricity</v>
      </c>
      <c r="E44" s="496"/>
      <c r="F44" s="276"/>
      <c r="G44" s="137">
        <f>IF('Data input'!G49="","Min",MIN('Data input'!G49:K49))</f>
        <v>-1</v>
      </c>
      <c r="H44" s="133" t="s">
        <v>275</v>
      </c>
      <c r="I44" s="133">
        <f>IF('Data input'!G49="","Max",MAX('Data input'!G49:K49))</f>
        <v>-1</v>
      </c>
      <c r="J44" s="133">
        <f>IF('Data input'!L49="","Min",MIN('Data input'!L49:P49))</f>
        <v>-1</v>
      </c>
      <c r="K44" s="133" t="s">
        <v>275</v>
      </c>
      <c r="L44" s="133">
        <f>IF('Data input'!L49="","Max",MAX('Data input'!L49:P49))</f>
        <v>-1</v>
      </c>
      <c r="M44" s="133">
        <f>IF('Data input'!Q49="","Min",MIN('Data input'!Q49:U49))</f>
        <v>-1</v>
      </c>
      <c r="N44" s="133" t="s">
        <v>275</v>
      </c>
      <c r="O44" s="134">
        <f>IF('Data input'!Q49="","Max",MAX('Data input'!Q49:U49))</f>
        <v>-1</v>
      </c>
      <c r="AZ44" s="107"/>
    </row>
    <row r="45" spans="1:52">
      <c r="A45" s="1"/>
      <c r="B45" s="483"/>
      <c r="C45" s="484"/>
      <c r="D45" s="497" t="str">
        <f>IF('Data input'!D51="Please select"," ",'Data input'!D51)</f>
        <v>Natural gas</v>
      </c>
      <c r="E45" s="498"/>
      <c r="F45" s="277" t="s">
        <v>145</v>
      </c>
      <c r="G45" s="310">
        <f>'Data input'!G51</f>
        <v>2</v>
      </c>
      <c r="H45" s="310"/>
      <c r="I45" s="310"/>
      <c r="J45" s="323">
        <f>'Data input'!L51</f>
        <v>2</v>
      </c>
      <c r="K45" s="310"/>
      <c r="L45" s="310"/>
      <c r="M45" s="310">
        <f>'Data input'!Q51</f>
        <v>2</v>
      </c>
      <c r="N45" s="310"/>
      <c r="O45" s="322"/>
      <c r="AZ45" s="107"/>
    </row>
    <row r="46" spans="1:52">
      <c r="A46" s="1"/>
      <c r="B46" s="483"/>
      <c r="C46" s="484"/>
      <c r="D46" s="499"/>
      <c r="E46" s="500"/>
      <c r="F46" s="279"/>
      <c r="G46" s="137">
        <f>IF('Data input'!G51="","Min",MIN('Data input'!G51:K51))</f>
        <v>2</v>
      </c>
      <c r="H46" s="133" t="s">
        <v>275</v>
      </c>
      <c r="I46" s="133">
        <f>IF('Data input'!G51="","Max",MAX('Data input'!G51:K51))</f>
        <v>2.33</v>
      </c>
      <c r="J46" s="133">
        <f>IF('Data input'!L51="","Min",MIN('Data input'!L51:P51))</f>
        <v>2</v>
      </c>
      <c r="K46" s="133" t="s">
        <v>275</v>
      </c>
      <c r="L46" s="133">
        <f>IF('Data input'!L51="","Max",MAX('Data input'!L51:P51))</f>
        <v>2.33</v>
      </c>
      <c r="M46" s="133">
        <f>IF('Data input'!Q51="","Min",MIN('Data input'!Q51:U51))</f>
        <v>2</v>
      </c>
      <c r="N46" s="133" t="s">
        <v>275</v>
      </c>
      <c r="O46" s="134">
        <f>IF('Data input'!Q51="","Max",MAX('Data input'!Q51:U51))</f>
        <v>2.33</v>
      </c>
      <c r="AZ46" s="107"/>
    </row>
    <row r="47" spans="1:52">
      <c r="A47" s="1"/>
      <c r="B47" s="483"/>
      <c r="C47" s="484"/>
      <c r="D47" s="501" t="str">
        <f>IF('Data input'!D53="Please select"," ",'Data input'!D53)</f>
        <v>Heat</v>
      </c>
      <c r="E47" s="502"/>
      <c r="F47" s="277" t="s">
        <v>145</v>
      </c>
      <c r="G47" s="310">
        <f>'Data input'!G53</f>
        <v>-0.8</v>
      </c>
      <c r="H47" s="310"/>
      <c r="I47" s="310"/>
      <c r="J47" s="323">
        <f>'Data input'!L53</f>
        <v>-0.8</v>
      </c>
      <c r="K47" s="310"/>
      <c r="L47" s="310"/>
      <c r="M47" s="310">
        <f>'Data input'!Q53</f>
        <v>-0.8</v>
      </c>
      <c r="N47" s="310"/>
      <c r="O47" s="322"/>
      <c r="AZ47" s="107"/>
    </row>
    <row r="48" spans="1:52">
      <c r="A48" s="1"/>
      <c r="B48" s="483"/>
      <c r="C48" s="484"/>
      <c r="D48" s="499"/>
      <c r="E48" s="500"/>
      <c r="F48" s="279"/>
      <c r="G48" s="137">
        <f>IF('Data input'!G53="","Min",MIN('Data input'!G53:K53))</f>
        <v>-0.98</v>
      </c>
      <c r="H48" s="133" t="s">
        <v>275</v>
      </c>
      <c r="I48" s="133">
        <f>IF('Data input'!G53="","Max",MAX('Data input'!G53:K53))</f>
        <v>-0.74</v>
      </c>
      <c r="J48" s="133">
        <f>IF('Data input'!L53="","Min",MIN('Data input'!L53:P53))</f>
        <v>-0.98</v>
      </c>
      <c r="K48" s="133" t="s">
        <v>275</v>
      </c>
      <c r="L48" s="133">
        <f>IF('Data input'!L53="","Max",MAX('Data input'!L53:P53))</f>
        <v>-0.69</v>
      </c>
      <c r="M48" s="133">
        <f>IF('Data input'!Q53="","Min",MIN('Data input'!Q53:U53))</f>
        <v>-0.98</v>
      </c>
      <c r="N48" s="133" t="s">
        <v>275</v>
      </c>
      <c r="O48" s="134">
        <f>IF('Data input'!Q53="","Max",MAX('Data input'!Q53:U53))</f>
        <v>0.69</v>
      </c>
      <c r="AZ48" s="107"/>
    </row>
    <row r="49" spans="1:52">
      <c r="A49" s="1"/>
      <c r="B49" s="483"/>
      <c r="C49" s="484"/>
      <c r="D49" s="501" t="str">
        <f>IF('Data input'!D55="Please select"," ",'Data input'!D55)</f>
        <v xml:space="preserve"> </v>
      </c>
      <c r="E49" s="502"/>
      <c r="F49" s="277" t="s">
        <v>145</v>
      </c>
      <c r="G49" s="310">
        <f>'Data input'!G55</f>
        <v>0</v>
      </c>
      <c r="H49" s="310"/>
      <c r="I49" s="310"/>
      <c r="J49" s="323">
        <f>'Data input'!L55</f>
        <v>0</v>
      </c>
      <c r="K49" s="310"/>
      <c r="L49" s="310"/>
      <c r="M49" s="310">
        <f>'Data input'!Q55</f>
        <v>0</v>
      </c>
      <c r="N49" s="310"/>
      <c r="O49" s="322"/>
      <c r="AZ49" s="107"/>
    </row>
    <row r="50" spans="1:52" ht="16.5" thickBot="1">
      <c r="A50" s="1"/>
      <c r="B50" s="483"/>
      <c r="C50" s="484"/>
      <c r="D50" s="503"/>
      <c r="E50" s="504"/>
      <c r="F50" s="397"/>
      <c r="G50" s="138" t="str">
        <f>IF('Data input'!G55="","Min",MIN('Data input'!G55:K55))</f>
        <v>Min</v>
      </c>
      <c r="H50" s="135" t="s">
        <v>275</v>
      </c>
      <c r="I50" s="135" t="str">
        <f>IF('Data input'!G55="","Max",MAX('Data input'!G55:K55))</f>
        <v>Max</v>
      </c>
      <c r="J50" s="135" t="str">
        <f>IF('Data input'!L55="","Min",MIN('Data input'!L55:P55))</f>
        <v>Min</v>
      </c>
      <c r="K50" s="135" t="s">
        <v>275</v>
      </c>
      <c r="L50" s="135" t="str">
        <f>IF('Data input'!L55="","Max",MAX('Data input'!L55:P55))</f>
        <v>Max</v>
      </c>
      <c r="M50" s="135" t="str">
        <f>IF('Data input'!Q55="","Min",MIN('Data input'!Q55:U55))</f>
        <v>Min</v>
      </c>
      <c r="N50" s="135" t="s">
        <v>275</v>
      </c>
      <c r="O50" s="136" t="str">
        <f>IF('Data input'!Q55="","Max",MAX('Data input'!Q55:U55))</f>
        <v>Max</v>
      </c>
      <c r="AZ50" s="107"/>
    </row>
    <row r="51" spans="1:52" ht="396.75" customHeight="1" thickBot="1">
      <c r="A51" s="1"/>
      <c r="B51" s="481" t="s">
        <v>220</v>
      </c>
      <c r="C51" s="505"/>
      <c r="D51" s="467" t="str">
        <f>IF('Data input'!D57="Explain here (e.g. flexible in and out)"," ",'Data input'!D57)</f>
        <v xml:space="preserve">Overview:
The electrical efficiency of existing combined cycle gas turbines in different OECD countries ranges between 39% and 61% (IEA, 2015). Depending on capacity of the plant, generally lower efficiencies are found for smaller units and higher efficiencies for larger units (Gasterra, 2008). 
The electrical efficiency of a CHP plant can only improve marginally due to further technical optimizations. The maximum possible efficiency of any heat engine is defined as the Carnot efficiency, which is not obtainable in practice. 
According to ETRI (2014) current combined cycle power plants used for cogeneration have a typical electrical efficiency of 59% at peak electrical load and a thermal efficiency of 46% at peak thermal load (ETRI, 2014). Peak load efficiency means the efficiency if the plant maximizes one of its outputs. In case of CHP, a higher heat output lowers the electricity output and vice versa.
Ratios (used to determine min.-max. range in table above):
• ECN (2011) indicates a 57% electrical efficiency and (possible) thermal efficiency of 40% for a gas-fired CHP plant used for electricity production and district heating (ECN, 2011). Disconnecting 0,4GJth at 120 °C per GJ natural gas input results in a decrease of electricicity production from 0,57GJe to 0,5GJe (ECN, 2011). For 2020, 2030 and 2050 the same values are assumed.
• Energy Matters (2012) indicates a 42% thermal efficiency and a 43% electrical efficiency for a gas-fired combined cycle CHP used for large scale district heating (Energy Matters, 2012). For 2020, 2030 and 2050 the same values are assumed.
• IEA ETSAP (2010) indicates an electrical efficiency of 42-47% for a natural gas-fired combined cycle CHP and a thermal efficiency (steam) of 33-38% (IEA ETSAP, 2010). The 2020 projection is  an electrical efficiency of 44-48% (46%) and a thermal efficiency of 32-36% (34%). The 2030 projection is  an electrical efficiency of 46-49% (47,5%) and a thermal efficiency of 31-34% (32,5%) (IEA ETSAP, 2010). For 2050 the same efficiencies as 2030 are assumed.
Other ratios:
• ETRI (2014) presents energy efficiencies of a CCGT advanced CHP (ETRI, 2014). Efficiencies at peak thermal load or peak electrical load are given in the report, which means that the plant maximizes either its heat or electricity output. In 2020, the max. thermal efficiency is 46% and the max. electrical efficiency is 59% (ETRI, 2014). In 2030, the max. thermal efficiency is 47% and the max. electrical efficiency is 61% (ETRI, 2014). In 2050, the max. thermal efficiency is 49% and the max. electrical efficiency is 63% (ETRI, 2014). The ETRI report does not give (max.) heat efficiency when (max.) electrical efficiency is given and vice versa.
</v>
      </c>
      <c r="E51" s="468"/>
      <c r="F51" s="468"/>
      <c r="G51" s="468"/>
      <c r="H51" s="468"/>
      <c r="I51" s="468"/>
      <c r="J51" s="468"/>
      <c r="K51" s="468"/>
      <c r="L51" s="468"/>
      <c r="M51" s="468"/>
      <c r="N51" s="468"/>
      <c r="O51" s="469"/>
      <c r="AZ51" s="107" t="str">
        <f>D51</f>
        <v xml:space="preserve">Overview:
The electrical efficiency of existing combined cycle gas turbines in different OECD countries ranges between 39% and 61% (IEA, 2015). Depending on capacity of the plant, generally lower efficiencies are found for smaller units and higher efficiencies for larger units (Gasterra, 2008). 
The electrical efficiency of a CHP plant can only improve marginally due to further technical optimizations. The maximum possible efficiency of any heat engine is defined as the Carnot efficiency, which is not obtainable in practice. 
According to ETRI (2014) current combined cycle power plants used for cogeneration have a typical electrical efficiency of 59% at peak electrical load and a thermal efficiency of 46% at peak thermal load (ETRI, 2014). Peak load efficiency means the efficiency if the plant maximizes one of its outputs. In case of CHP, a higher heat output lowers the electricity output and vice versa.
Ratios (used to determine min.-max. range in table above):
• ECN (2011) indicates a 57% electrical efficiency and (possible) thermal efficiency of 40% for a gas-fired CHP plant used for electricity production and district heating (ECN, 2011). Disconnecting 0,4GJth at 120 °C per GJ natural gas input results in a decrease of electricicity production from 0,57GJe to 0,5GJe (ECN, 2011). For 2020, 2030 and 2050 the same values are assumed.
• Energy Matters (2012) indicates a 42% thermal efficiency and a 43% electrical efficiency for a gas-fired combined cycle CHP used for large scale district heating (Energy Matters, 2012). For 2020, 2030 and 2050 the same values are assumed.
• IEA ETSAP (2010) indicates an electrical efficiency of 42-47% for a natural gas-fired combined cycle CHP and a thermal efficiency (steam) of 33-38% (IEA ETSAP, 2010). The 2020 projection is  an electrical efficiency of 44-48% (46%) and a thermal efficiency of 32-36% (34%). The 2030 projection is  an electrical efficiency of 46-49% (47,5%) and a thermal efficiency of 31-34% (32,5%) (IEA ETSAP, 2010). For 2050 the same efficiencies as 2030 are assumed.
Other ratios:
• ETRI (2014) presents energy efficiencies of a CCGT advanced CHP (ETRI, 2014). Efficiencies at peak thermal load or peak electrical load are given in the report, which means that the plant maximizes either its heat or electricity output. In 2020, the max. thermal efficiency is 46% and the max. electrical efficiency is 59% (ETRI, 2014). In 2030, the max. thermal efficiency is 47% and the max. electrical efficiency is 61% (ETRI, 2014). In 2050, the max. thermal efficiency is 49% and the max. electrical efficiency is 63% (ETRI, 2014). The ETRI report does not give (max.) heat efficiency when (max.) electrical efficiency is given and vice versa.
</v>
      </c>
    </row>
    <row r="52" spans="1:52" ht="16.5" thickBot="1">
      <c r="A52" s="1"/>
      <c r="B52" s="305" t="s">
        <v>222</v>
      </c>
      <c r="C52" s="306"/>
      <c r="D52" s="307"/>
      <c r="E52" s="307"/>
      <c r="F52" s="307"/>
      <c r="G52" s="307"/>
      <c r="H52" s="307"/>
      <c r="I52" s="307"/>
      <c r="J52" s="307"/>
      <c r="K52" s="307"/>
      <c r="L52" s="307"/>
      <c r="M52" s="307"/>
      <c r="N52" s="307"/>
      <c r="O52" s="308"/>
      <c r="AZ52" s="107"/>
    </row>
    <row r="53" spans="1:52">
      <c r="A53" s="1"/>
      <c r="B53" s="481" t="s">
        <v>223</v>
      </c>
      <c r="C53" s="482"/>
      <c r="D53" s="347" t="s">
        <v>224</v>
      </c>
      <c r="E53" s="309"/>
      <c r="F53" s="161" t="s">
        <v>213</v>
      </c>
      <c r="G53" s="309" t="s">
        <v>276</v>
      </c>
      <c r="H53" s="309"/>
      <c r="I53" s="309"/>
      <c r="J53" s="309">
        <v>2030</v>
      </c>
      <c r="K53" s="309"/>
      <c r="L53" s="309"/>
      <c r="M53" s="309">
        <v>2050</v>
      </c>
      <c r="N53" s="309"/>
      <c r="O53" s="315"/>
      <c r="AZ53" s="107"/>
    </row>
    <row r="54" spans="1:52">
      <c r="A54" s="1"/>
      <c r="B54" s="483"/>
      <c r="C54" s="484"/>
      <c r="D54" s="506" t="str">
        <f>IF('Data input'!D61="Specify here"," ",'Data input'!D61)</f>
        <v xml:space="preserve"> </v>
      </c>
      <c r="E54" s="507"/>
      <c r="F54" s="508" t="str">
        <f>IF('Data input'!F61="Specify here"," ",'Data input'!F61)</f>
        <v xml:space="preserve"> </v>
      </c>
      <c r="G54" s="310">
        <f>'Data input'!G61</f>
        <v>0</v>
      </c>
      <c r="H54" s="310"/>
      <c r="I54" s="310"/>
      <c r="J54" s="310">
        <f>'Data input'!L61</f>
        <v>0</v>
      </c>
      <c r="K54" s="310"/>
      <c r="L54" s="310"/>
      <c r="M54" s="310">
        <f>'Data input'!Q61</f>
        <v>0</v>
      </c>
      <c r="N54" s="310"/>
      <c r="O54" s="322"/>
      <c r="AZ54" s="107"/>
    </row>
    <row r="55" spans="1:52">
      <c r="A55" s="1"/>
      <c r="B55" s="483"/>
      <c r="C55" s="484"/>
      <c r="D55" s="506"/>
      <c r="E55" s="507"/>
      <c r="F55" s="508"/>
      <c r="G55" s="137" t="str">
        <f>IF('Data input'!G61="","Min",MIN('Data input'!G61:K61))</f>
        <v>Min</v>
      </c>
      <c r="H55" s="133" t="s">
        <v>275</v>
      </c>
      <c r="I55" s="133" t="str">
        <f>IF('Data input'!G61="","Max",MAX('Data input'!G61:K61))</f>
        <v>Max</v>
      </c>
      <c r="J55" s="133" t="str">
        <f>IF('Data input'!L61="","Min",MIN('Data input'!L61:P61))</f>
        <v>Min</v>
      </c>
      <c r="K55" s="133" t="s">
        <v>275</v>
      </c>
      <c r="L55" s="133" t="str">
        <f>IF('Data input'!L61="","Max",MAX('Data input'!L61:P61))</f>
        <v>Max</v>
      </c>
      <c r="M55" s="133" t="str">
        <f>IF('Data input'!Q61="","Min",MIN('Data input'!Q61:U61))</f>
        <v>Min</v>
      </c>
      <c r="N55" s="133" t="s">
        <v>275</v>
      </c>
      <c r="O55" s="134" t="str">
        <f>IF('Data input'!Q61="","Max",MAX('Data input'!Q61:U61))</f>
        <v>Max</v>
      </c>
      <c r="AZ55" s="107"/>
    </row>
    <row r="56" spans="1:52">
      <c r="A56" s="1"/>
      <c r="B56" s="483"/>
      <c r="C56" s="484"/>
      <c r="D56" s="506" t="str">
        <f>IF('Data input'!D63="Specify here"," ",'Data input'!D63)</f>
        <v xml:space="preserve"> </v>
      </c>
      <c r="E56" s="507"/>
      <c r="F56" s="508" t="str">
        <f>IF('Data input'!F63="Specify here"," ",'Data input'!F63)</f>
        <v xml:space="preserve"> </v>
      </c>
      <c r="G56" s="310">
        <f>'Data input'!G63</f>
        <v>0</v>
      </c>
      <c r="H56" s="310"/>
      <c r="I56" s="310"/>
      <c r="J56" s="310">
        <f>'Data input'!L63</f>
        <v>0</v>
      </c>
      <c r="K56" s="310"/>
      <c r="L56" s="310"/>
      <c r="M56" s="310">
        <f>'Data input'!Q63</f>
        <v>0</v>
      </c>
      <c r="N56" s="310"/>
      <c r="O56" s="322"/>
      <c r="AZ56" s="107"/>
    </row>
    <row r="57" spans="1:52" ht="16.5" thickBot="1">
      <c r="A57" s="1"/>
      <c r="B57" s="483"/>
      <c r="C57" s="484"/>
      <c r="D57" s="509"/>
      <c r="E57" s="510"/>
      <c r="F57" s="511"/>
      <c r="G57" s="138" t="str">
        <f>IF('Data input'!G63="","Min",MIN('Data input'!G63:K63))</f>
        <v>Min</v>
      </c>
      <c r="H57" s="135" t="s">
        <v>275</v>
      </c>
      <c r="I57" s="135" t="str">
        <f>IF('Data input'!G63="","Max",MAX('Data input'!G63:K63))</f>
        <v>Max</v>
      </c>
      <c r="J57" s="135" t="str">
        <f>IF('Data input'!L63="","Min",MIN('Data input'!L63:P63))</f>
        <v>Min</v>
      </c>
      <c r="K57" s="135" t="s">
        <v>275</v>
      </c>
      <c r="L57" s="135" t="str">
        <f>IF('Data input'!L63="","Max",MAX('Data input'!L63:P63))</f>
        <v>Max</v>
      </c>
      <c r="M57" s="135" t="str">
        <f>IF('Data input'!Q63="","Min",MIN('Data input'!Q63:U63))</f>
        <v>Min</v>
      </c>
      <c r="N57" s="135" t="s">
        <v>275</v>
      </c>
      <c r="O57" s="136" t="str">
        <f>IF('Data input'!Q63="","Max",MAX('Data input'!Q63:U63))</f>
        <v>Max</v>
      </c>
      <c r="AZ57" s="107"/>
    </row>
    <row r="58" spans="1:52" ht="16.5" thickBot="1">
      <c r="A58" s="1"/>
      <c r="B58" s="481" t="s">
        <v>226</v>
      </c>
      <c r="C58" s="505"/>
      <c r="D58" s="467" t="str">
        <f>IF('Data input'!D65="Explain here"," ",'Data input'!D65)</f>
        <v xml:space="preserve"> </v>
      </c>
      <c r="E58" s="468"/>
      <c r="F58" s="468"/>
      <c r="G58" s="468"/>
      <c r="H58" s="468"/>
      <c r="I58" s="468"/>
      <c r="J58" s="468"/>
      <c r="K58" s="468"/>
      <c r="L58" s="468"/>
      <c r="M58" s="468"/>
      <c r="N58" s="468"/>
      <c r="O58" s="469"/>
      <c r="AZ58" s="107" t="str">
        <f>D58</f>
        <v xml:space="preserve"> </v>
      </c>
    </row>
    <row r="59" spans="1:52" ht="16.5" thickBot="1">
      <c r="A59" s="1"/>
      <c r="B59" s="305" t="s">
        <v>228</v>
      </c>
      <c r="C59" s="306"/>
      <c r="D59" s="307"/>
      <c r="E59" s="307"/>
      <c r="F59" s="307"/>
      <c r="G59" s="307"/>
      <c r="H59" s="307"/>
      <c r="I59" s="307"/>
      <c r="J59" s="307"/>
      <c r="K59" s="307"/>
      <c r="L59" s="307"/>
      <c r="M59" s="307"/>
      <c r="N59" s="307"/>
      <c r="O59" s="308"/>
      <c r="AZ59" s="107"/>
    </row>
    <row r="60" spans="1:52">
      <c r="A60" s="1"/>
      <c r="B60" s="481" t="s">
        <v>116</v>
      </c>
      <c r="C60" s="482"/>
      <c r="D60" s="347" t="s">
        <v>229</v>
      </c>
      <c r="E60" s="309"/>
      <c r="F60" s="161" t="s">
        <v>213</v>
      </c>
      <c r="G60" s="309" t="s">
        <v>276</v>
      </c>
      <c r="H60" s="309"/>
      <c r="I60" s="309"/>
      <c r="J60" s="309">
        <v>2030</v>
      </c>
      <c r="K60" s="309"/>
      <c r="L60" s="309"/>
      <c r="M60" s="309">
        <v>2050</v>
      </c>
      <c r="N60" s="309"/>
      <c r="O60" s="315"/>
      <c r="AZ60" s="107"/>
    </row>
    <row r="61" spans="1:52">
      <c r="A61" s="1"/>
      <c r="B61" s="483"/>
      <c r="C61" s="484"/>
      <c r="D61" s="506" t="str">
        <f>IF('Data input'!D69="Please select"," ",'Data input'!D69)</f>
        <v xml:space="preserve"> </v>
      </c>
      <c r="E61" s="507"/>
      <c r="F61" s="448" t="str">
        <f>IF('Data input'!F69="Please select"," ",'Data input'!F69)</f>
        <v xml:space="preserve"> </v>
      </c>
      <c r="G61" s="310">
        <f>'Data input'!G69</f>
        <v>0</v>
      </c>
      <c r="H61" s="310"/>
      <c r="I61" s="310"/>
      <c r="J61" s="310">
        <f>'Data input'!L69</f>
        <v>0</v>
      </c>
      <c r="K61" s="310"/>
      <c r="L61" s="310"/>
      <c r="M61" s="310">
        <f>'Data input'!Q69</f>
        <v>0</v>
      </c>
      <c r="N61" s="310"/>
      <c r="O61" s="322"/>
      <c r="AZ61" s="107"/>
    </row>
    <row r="62" spans="1:52">
      <c r="A62" s="1"/>
      <c r="B62" s="483"/>
      <c r="C62" s="484"/>
      <c r="D62" s="506"/>
      <c r="E62" s="507"/>
      <c r="F62" s="448"/>
      <c r="G62" s="137" t="str">
        <f>IF('Data input'!G69="","Min",MIN('Data input'!G69:K69))</f>
        <v>Min</v>
      </c>
      <c r="H62" s="133" t="s">
        <v>275</v>
      </c>
      <c r="I62" s="133" t="str">
        <f>IF('Data input'!G69="","Max",MAX('Data input'!G69:K69))</f>
        <v>Max</v>
      </c>
      <c r="J62" s="133" t="str">
        <f>IF('Data input'!L69="","Min",MIN('Data input'!L69:P69))</f>
        <v>Min</v>
      </c>
      <c r="K62" s="133" t="s">
        <v>275</v>
      </c>
      <c r="L62" s="133" t="str">
        <f>IF('Data input'!L69="","Max",MAX('Data input'!L69:P69))</f>
        <v>Max</v>
      </c>
      <c r="M62" s="133" t="str">
        <f>IF('Data input'!Q69="","Min",MIN('Data input'!Q69:U69))</f>
        <v>Min</v>
      </c>
      <c r="N62" s="133" t="s">
        <v>275</v>
      </c>
      <c r="O62" s="134" t="str">
        <f>IF('Data input'!Q69="","Max",MAX('Data input'!Q69:U69))</f>
        <v>Max</v>
      </c>
      <c r="AZ62" s="107"/>
    </row>
    <row r="63" spans="1:52">
      <c r="A63" s="1"/>
      <c r="B63" s="483"/>
      <c r="C63" s="484"/>
      <c r="D63" s="506" t="str">
        <f>IF('Data input'!D71="Please select"," ",'Data input'!D71)</f>
        <v xml:space="preserve"> </v>
      </c>
      <c r="E63" s="507"/>
      <c r="F63" s="448" t="str">
        <f>IF('Data input'!F71="Please select"," ",'Data input'!F71)</f>
        <v xml:space="preserve"> </v>
      </c>
      <c r="G63" s="310">
        <f>'Data input'!G71</f>
        <v>0</v>
      </c>
      <c r="H63" s="310"/>
      <c r="I63" s="310"/>
      <c r="J63" s="310">
        <f>'Data input'!L71</f>
        <v>0</v>
      </c>
      <c r="K63" s="310"/>
      <c r="L63" s="310"/>
      <c r="M63" s="310">
        <f>'Data input'!Q71</f>
        <v>0</v>
      </c>
      <c r="N63" s="310"/>
      <c r="O63" s="322"/>
      <c r="AZ63" s="107"/>
    </row>
    <row r="64" spans="1:52">
      <c r="A64" s="1"/>
      <c r="B64" s="483"/>
      <c r="C64" s="484"/>
      <c r="D64" s="506"/>
      <c r="E64" s="507"/>
      <c r="F64" s="448"/>
      <c r="G64" s="137" t="str">
        <f>IF('Data input'!G71="","Min",MIN('Data input'!G71:K71))</f>
        <v>Min</v>
      </c>
      <c r="H64" s="133" t="s">
        <v>275</v>
      </c>
      <c r="I64" s="133" t="str">
        <f>IF('Data input'!G71="","Max",MAX('Data input'!G71:K71))</f>
        <v>Max</v>
      </c>
      <c r="J64" s="133" t="str">
        <f>IF('Data input'!L71="","Min",MIN('Data input'!L71:P71))</f>
        <v>Min</v>
      </c>
      <c r="K64" s="133" t="s">
        <v>275</v>
      </c>
      <c r="L64" s="133" t="str">
        <f>IF('Data input'!L71="","Max",MAX('Data input'!L71:P71))</f>
        <v>Max</v>
      </c>
      <c r="M64" s="133" t="str">
        <f>IF('Data input'!Q71="","Min",MIN('Data input'!Q71:U71))</f>
        <v>Min</v>
      </c>
      <c r="N64" s="133" t="s">
        <v>275</v>
      </c>
      <c r="O64" s="134" t="str">
        <f>IF('Data input'!Q71="","Max",MAX('Data input'!Q71:U71))</f>
        <v>Max</v>
      </c>
      <c r="AZ64" s="107"/>
    </row>
    <row r="65" spans="1:52">
      <c r="A65" s="1"/>
      <c r="B65" s="483"/>
      <c r="C65" s="484"/>
      <c r="D65" s="506" t="str">
        <f>IF('Data input'!D73="Please select"," ",'Data input'!D73)</f>
        <v xml:space="preserve"> </v>
      </c>
      <c r="E65" s="507"/>
      <c r="F65" s="448" t="str">
        <f>IF('Data input'!F73="Please select"," ",'Data input'!F73)</f>
        <v xml:space="preserve"> </v>
      </c>
      <c r="G65" s="310">
        <f>'Data input'!G73</f>
        <v>0</v>
      </c>
      <c r="H65" s="310"/>
      <c r="I65" s="310"/>
      <c r="J65" s="310">
        <f>'Data input'!L73</f>
        <v>0</v>
      </c>
      <c r="K65" s="310"/>
      <c r="L65" s="310"/>
      <c r="M65" s="310">
        <f>'Data input'!Q73</f>
        <v>0</v>
      </c>
      <c r="N65" s="310"/>
      <c r="O65" s="322"/>
      <c r="AZ65" s="107"/>
    </row>
    <row r="66" spans="1:52">
      <c r="A66" s="1"/>
      <c r="B66" s="483"/>
      <c r="C66" s="484"/>
      <c r="D66" s="506"/>
      <c r="E66" s="507"/>
      <c r="F66" s="448"/>
      <c r="G66" s="137" t="str">
        <f>IF('Data input'!G73="","Min",MIN('Data input'!G73:K73))</f>
        <v>Min</v>
      </c>
      <c r="H66" s="133" t="s">
        <v>275</v>
      </c>
      <c r="I66" s="133" t="str">
        <f>IF('Data input'!G73="","Max",MAX('Data input'!G73:K73))</f>
        <v>Max</v>
      </c>
      <c r="J66" s="133" t="str">
        <f>IF('Data input'!L73="","Min",MIN('Data input'!L73:P73))</f>
        <v>Min</v>
      </c>
      <c r="K66" s="133" t="s">
        <v>275</v>
      </c>
      <c r="L66" s="133" t="str">
        <f>IF('Data input'!L73="","Max",MAX('Data input'!L73:P73))</f>
        <v>Max</v>
      </c>
      <c r="M66" s="133" t="str">
        <f>IF('Data input'!Q73="","Min",MIN('Data input'!Q73:U73))</f>
        <v>Min</v>
      </c>
      <c r="N66" s="133" t="s">
        <v>275</v>
      </c>
      <c r="O66" s="134" t="str">
        <f>IF('Data input'!Q73="","Max",MAX('Data input'!Q73:U73))</f>
        <v>Max</v>
      </c>
      <c r="AZ66" s="107"/>
    </row>
    <row r="67" spans="1:52">
      <c r="A67" s="1"/>
      <c r="B67" s="483"/>
      <c r="C67" s="484"/>
      <c r="D67" s="506" t="str">
        <f>IF('Data input'!D75="Please select"," ",'Data input'!D75)</f>
        <v xml:space="preserve"> </v>
      </c>
      <c r="E67" s="507"/>
      <c r="F67" s="448" t="str">
        <f>IF('Data input'!F75="Please select"," ",'Data input'!F75)</f>
        <v xml:space="preserve"> </v>
      </c>
      <c r="G67" s="310">
        <f>'Data input'!G75</f>
        <v>0</v>
      </c>
      <c r="H67" s="310"/>
      <c r="I67" s="310"/>
      <c r="J67" s="310">
        <f>'Data input'!L75</f>
        <v>0</v>
      </c>
      <c r="K67" s="310"/>
      <c r="L67" s="310"/>
      <c r="M67" s="310">
        <f>'Data input'!Q75</f>
        <v>0</v>
      </c>
      <c r="N67" s="310"/>
      <c r="O67" s="322"/>
      <c r="AZ67" s="107"/>
    </row>
    <row r="68" spans="1:52" ht="16.5" thickBot="1">
      <c r="A68" s="1"/>
      <c r="B68" s="483"/>
      <c r="C68" s="484"/>
      <c r="D68" s="509"/>
      <c r="E68" s="510"/>
      <c r="F68" s="512"/>
      <c r="G68" s="138" t="str">
        <f>IF('Data input'!G75="","Min",MIN('Data input'!G75:K75))</f>
        <v>Min</v>
      </c>
      <c r="H68" s="135" t="s">
        <v>275</v>
      </c>
      <c r="I68" s="135" t="str">
        <f>IF('Data input'!G75="","Max",MAX('Data input'!G75:K75))</f>
        <v>Max</v>
      </c>
      <c r="J68" s="135" t="str">
        <f>IF('Data input'!L75="","Min",MIN('Data input'!L75:P75))</f>
        <v>Min</v>
      </c>
      <c r="K68" s="135" t="s">
        <v>275</v>
      </c>
      <c r="L68" s="135" t="str">
        <f>IF('Data input'!L75="","Max",MAX('Data input'!L75:P75))</f>
        <v>Max</v>
      </c>
      <c r="M68" s="135" t="str">
        <f>IF('Data input'!Q75="","Min",MIN('Data input'!Q75:U75))</f>
        <v>Min</v>
      </c>
      <c r="N68" s="135" t="s">
        <v>275</v>
      </c>
      <c r="O68" s="136" t="str">
        <f>IF('Data input'!Q75="","Max",MAX('Data input'!Q75:U75))</f>
        <v>Max</v>
      </c>
      <c r="AZ68" s="107"/>
    </row>
    <row r="69" spans="1:52" ht="16.5" thickBot="1">
      <c r="A69" s="1"/>
      <c r="B69" s="481" t="s">
        <v>230</v>
      </c>
      <c r="C69" s="505"/>
      <c r="D69" s="467" t="str">
        <f>IF('Data input'!D77="Explain here (e.g. emission factors if calculated)"," ",'Data input'!D77)</f>
        <v>Most of the NOx emissions are prevented due to the flue gas cleaner.</v>
      </c>
      <c r="E69" s="468"/>
      <c r="F69" s="468"/>
      <c r="G69" s="468"/>
      <c r="H69" s="468"/>
      <c r="I69" s="468"/>
      <c r="J69" s="468"/>
      <c r="K69" s="468"/>
      <c r="L69" s="468"/>
      <c r="M69" s="468"/>
      <c r="N69" s="468"/>
      <c r="O69" s="469"/>
      <c r="AZ69" s="107" t="str">
        <f>D69</f>
        <v>Most of the NOx emissions are prevented due to the flue gas cleaner.</v>
      </c>
    </row>
    <row r="70" spans="1:52" ht="16.5" thickBot="1">
      <c r="A70" s="1"/>
      <c r="B70" s="314" t="s">
        <v>232</v>
      </c>
      <c r="C70" s="307"/>
      <c r="D70" s="307"/>
      <c r="E70" s="307"/>
      <c r="F70" s="307"/>
      <c r="G70" s="307"/>
      <c r="H70" s="307"/>
      <c r="I70" s="307"/>
      <c r="J70" s="307"/>
      <c r="K70" s="307"/>
      <c r="L70" s="307"/>
      <c r="M70" s="307"/>
      <c r="N70" s="307"/>
      <c r="O70" s="308"/>
      <c r="AZ70" s="107"/>
    </row>
    <row r="71" spans="1:52">
      <c r="A71" s="1"/>
      <c r="B71" s="403" t="s">
        <v>252</v>
      </c>
      <c r="C71" s="404"/>
      <c r="D71" s="347" t="s">
        <v>213</v>
      </c>
      <c r="E71" s="309"/>
      <c r="F71" s="309"/>
      <c r="G71" s="309" t="s">
        <v>276</v>
      </c>
      <c r="H71" s="309"/>
      <c r="I71" s="309"/>
      <c r="J71" s="309">
        <v>2030</v>
      </c>
      <c r="K71" s="309"/>
      <c r="L71" s="309"/>
      <c r="M71" s="309">
        <v>2050</v>
      </c>
      <c r="N71" s="309"/>
      <c r="O71" s="315"/>
      <c r="AZ71" s="107"/>
    </row>
    <row r="72" spans="1:52">
      <c r="A72" s="1"/>
      <c r="B72" s="513" t="str">
        <f>IF('Data input'!B81="Add here"," ",'Data input'!B81)</f>
        <v>Loss of electricity production per unit of heat supplied</v>
      </c>
      <c r="C72" s="514"/>
      <c r="D72" s="401" t="str">
        <f>IF('Data input'!D81="Specify here"," ",'Data input'!D81)</f>
        <v>GJe/GJth</v>
      </c>
      <c r="E72" s="402"/>
      <c r="F72" s="402"/>
      <c r="G72" s="316">
        <f>'Data input'!G81</f>
        <v>0.18</v>
      </c>
      <c r="H72" s="316"/>
      <c r="I72" s="316"/>
      <c r="J72" s="316">
        <f>'Data input'!L81</f>
        <v>0.18</v>
      </c>
      <c r="K72" s="316"/>
      <c r="L72" s="316"/>
      <c r="M72" s="316">
        <f>'Data input'!Q81</f>
        <v>0.18</v>
      </c>
      <c r="N72" s="316"/>
      <c r="O72" s="317"/>
      <c r="AZ72" s="107"/>
    </row>
    <row r="73" spans="1:52">
      <c r="A73" s="1"/>
      <c r="B73" s="513"/>
      <c r="C73" s="514"/>
      <c r="D73" s="401"/>
      <c r="E73" s="402"/>
      <c r="F73" s="402"/>
      <c r="G73" s="133">
        <f>IF('Data input'!G81="","Min",MIN('Data input'!G81:K81))</f>
        <v>0.09</v>
      </c>
      <c r="H73" s="133" t="s">
        <v>275</v>
      </c>
      <c r="I73" s="133">
        <f>IF('Data input'!G81="","Max",MAX('Data input'!G81:K81))</f>
        <v>0.18</v>
      </c>
      <c r="J73" s="133">
        <f>IF('Data input'!L81="","Min",MIN('Data input'!L81:P81))</f>
        <v>0.09</v>
      </c>
      <c r="K73" s="133" t="s">
        <v>275</v>
      </c>
      <c r="L73" s="133">
        <f>IF('Data input'!L81="","Max",MAX('Data input'!L81:P81))</f>
        <v>0.18</v>
      </c>
      <c r="M73" s="133">
        <f>IF('Data input'!Q81="","Min",MIN('Data input'!Q81:U81))</f>
        <v>0.09</v>
      </c>
      <c r="N73" s="133" t="s">
        <v>275</v>
      </c>
      <c r="O73" s="134">
        <f>IF('Data input'!Q81="","Max",MAX('Data input'!Q81:U81))</f>
        <v>0.18</v>
      </c>
      <c r="AZ73" s="107"/>
    </row>
    <row r="74" spans="1:52">
      <c r="A74" s="1"/>
      <c r="B74" s="513" t="str">
        <f>IF('Data input'!B83="Add here"," ",'Data input'!B83)</f>
        <v>Water consumption</v>
      </c>
      <c r="C74" s="514"/>
      <c r="D74" s="318" t="str">
        <f>IF('Data input'!D83="Specify here"," ",'Data input'!D83)</f>
        <v>liters/kWh</v>
      </c>
      <c r="E74" s="319"/>
      <c r="F74" s="272"/>
      <c r="G74" s="316">
        <f>'Data input'!G83</f>
        <v>0.01</v>
      </c>
      <c r="H74" s="316"/>
      <c r="I74" s="316"/>
      <c r="J74" s="316">
        <f>'Data input'!L83</f>
        <v>0.01</v>
      </c>
      <c r="K74" s="316"/>
      <c r="L74" s="316"/>
      <c r="M74" s="316">
        <f>'Data input'!Q83</f>
        <v>0.01</v>
      </c>
      <c r="N74" s="316"/>
      <c r="O74" s="317"/>
      <c r="AZ74" s="107"/>
    </row>
    <row r="75" spans="1:52">
      <c r="A75" s="1"/>
      <c r="B75" s="513"/>
      <c r="C75" s="514"/>
      <c r="D75" s="320"/>
      <c r="E75" s="321"/>
      <c r="F75" s="276"/>
      <c r="G75" s="133">
        <f>IF('Data input'!G83="","Min",MIN('Data input'!G83:K83))</f>
        <v>0.01</v>
      </c>
      <c r="H75" s="133" t="s">
        <v>275</v>
      </c>
      <c r="I75" s="133">
        <f>IF('Data input'!G83="","Max",MAX('Data input'!G83:K83))</f>
        <v>0.01</v>
      </c>
      <c r="J75" s="133">
        <f>IF('Data input'!L83="","Min",MIN('Data input'!L83:P83))</f>
        <v>0.01</v>
      </c>
      <c r="K75" s="133" t="s">
        <v>275</v>
      </c>
      <c r="L75" s="133">
        <f>IF('Data input'!L83="","Max",MAX('Data input'!L83:P83))</f>
        <v>0.01</v>
      </c>
      <c r="M75" s="133">
        <f>IF('Data input'!Q83="","Min",MIN('Data input'!Q83:U83))</f>
        <v>0.01</v>
      </c>
      <c r="N75" s="133" t="s">
        <v>275</v>
      </c>
      <c r="O75" s="134">
        <f>IF('Data input'!Q83="","Max",MAX('Data input'!Q83:U83))</f>
        <v>0.01</v>
      </c>
      <c r="AZ75" s="107"/>
    </row>
    <row r="76" spans="1:52">
      <c r="A76" s="1"/>
      <c r="B76" s="513" t="str">
        <f>IF('Data input'!B85="Add here"," ",'Data input'!B85)</f>
        <v xml:space="preserve"> </v>
      </c>
      <c r="C76" s="514"/>
      <c r="D76" s="318" t="str">
        <f>IF('Data input'!D85="Specify here"," ",'Data input'!D85)</f>
        <v xml:space="preserve"> </v>
      </c>
      <c r="E76" s="319"/>
      <c r="F76" s="272"/>
      <c r="G76" s="316">
        <f>'Data input'!G85</f>
        <v>0</v>
      </c>
      <c r="H76" s="316"/>
      <c r="I76" s="316"/>
      <c r="J76" s="316">
        <f>'Data input'!L85</f>
        <v>0</v>
      </c>
      <c r="K76" s="316"/>
      <c r="L76" s="316"/>
      <c r="M76" s="316">
        <f>'Data input'!Q85</f>
        <v>0</v>
      </c>
      <c r="N76" s="316"/>
      <c r="O76" s="317"/>
      <c r="AZ76" s="107"/>
    </row>
    <row r="77" spans="1:52">
      <c r="A77" s="1"/>
      <c r="B77" s="513"/>
      <c r="C77" s="514"/>
      <c r="D77" s="320"/>
      <c r="E77" s="321"/>
      <c r="F77" s="276"/>
      <c r="G77" s="133" t="str">
        <f>IF('Data input'!G85="","Min",MIN('Data input'!G85:K85))</f>
        <v>Min</v>
      </c>
      <c r="H77" s="133" t="s">
        <v>275</v>
      </c>
      <c r="I77" s="133" t="str">
        <f>IF('Data input'!G85="","Max",MAX('Data input'!G85:K85))</f>
        <v>Max</v>
      </c>
      <c r="J77" s="133" t="str">
        <f>IF('Data input'!L85="","Min",MIN('Data input'!L85:P85))</f>
        <v>Min</v>
      </c>
      <c r="K77" s="133" t="s">
        <v>275</v>
      </c>
      <c r="L77" s="133" t="str">
        <f>IF('Data input'!L85="","Max",MAX('Data input'!L85:P85))</f>
        <v>Max</v>
      </c>
      <c r="M77" s="133" t="str">
        <f>IF('Data input'!Q85="","Min",MIN('Data input'!Q85:U85))</f>
        <v>Min</v>
      </c>
      <c r="N77" s="133" t="s">
        <v>275</v>
      </c>
      <c r="O77" s="134" t="str">
        <f>IF('Data input'!Q85="","Max",MAX('Data input'!Q85:U85))</f>
        <v>Max</v>
      </c>
      <c r="AZ77" s="107"/>
    </row>
    <row r="78" spans="1:52">
      <c r="A78" s="1"/>
      <c r="B78" s="513" t="str">
        <f>IF('Data input'!B87="Add here"," ",'Data input'!B87)</f>
        <v xml:space="preserve"> </v>
      </c>
      <c r="C78" s="514"/>
      <c r="D78" s="318" t="str">
        <f>IF('Data input'!D85="Specify here"," ",'Data input'!D85)</f>
        <v xml:space="preserve"> </v>
      </c>
      <c r="E78" s="319"/>
      <c r="F78" s="272"/>
      <c r="G78" s="316">
        <f>'Data input'!G87</f>
        <v>0</v>
      </c>
      <c r="H78" s="316"/>
      <c r="I78" s="316"/>
      <c r="J78" s="316">
        <f>'Data input'!L87</f>
        <v>0</v>
      </c>
      <c r="K78" s="316"/>
      <c r="L78" s="316"/>
      <c r="M78" s="316">
        <f>'Data input'!Q87</f>
        <v>0</v>
      </c>
      <c r="N78" s="316"/>
      <c r="O78" s="317"/>
      <c r="AZ78" s="107"/>
    </row>
    <row r="79" spans="1:52" ht="16.5" thickBot="1">
      <c r="A79" s="1"/>
      <c r="B79" s="515"/>
      <c r="C79" s="435"/>
      <c r="D79" s="320"/>
      <c r="E79" s="321"/>
      <c r="F79" s="276"/>
      <c r="G79" s="135" t="str">
        <f>IF('Data input'!G87="","Min",MIN('Data input'!G87:K87))</f>
        <v>Min</v>
      </c>
      <c r="H79" s="135" t="s">
        <v>275</v>
      </c>
      <c r="I79" s="135" t="str">
        <f>IF('Data input'!G87="","Max",MAX('Data input'!G87:K87))</f>
        <v>Max</v>
      </c>
      <c r="J79" s="135" t="str">
        <f>IF('Data input'!L87="","Min",MIN('Data input'!L87:P87))</f>
        <v>Min</v>
      </c>
      <c r="K79" s="135" t="s">
        <v>275</v>
      </c>
      <c r="L79" s="135" t="str">
        <f>IF('Data input'!L87="","Max",MAX('Data input'!L87:P87))</f>
        <v>Max</v>
      </c>
      <c r="M79" s="135" t="str">
        <f>IF('Data input'!Q87="","Min",MIN('Data input'!Q87:U87))</f>
        <v>Min</v>
      </c>
      <c r="N79" s="135" t="s">
        <v>275</v>
      </c>
      <c r="O79" s="136" t="str">
        <f>IF('Data input'!Q87="","Max",MAX('Data input'!Q87:U87))</f>
        <v>Max</v>
      </c>
      <c r="AZ79" s="107"/>
    </row>
    <row r="80" spans="1:52" ht="95.25" thickBot="1">
      <c r="A80" s="1"/>
      <c r="B80" s="516" t="s">
        <v>198</v>
      </c>
      <c r="C80" s="517"/>
      <c r="D80" s="518" t="str">
        <f>IF('Data input'!D89="Explain here"," ",'Data input'!D89)</f>
        <v>• Downside of utilizing heat for district heating is that the electrical efficiency of the CHP plant is lowered (loss of electricity production). For each GJth of drain heat supplied to a district heating network there is 0,18 GJe loss of electricity production (ECN, 2011). The higher the temperature of the heat, the higher the losses. ECN (2011) indicates a loss of 0,18 GJe/GJth for drain heat at 120 ᵒC and a loss of 0,09 GJe/GJth at 80 ᵒC (ECN, 2011).
• According to ETRI the water withdrawal is equal to 0,01 liters per kWhe and water consumption (i.e. water which is not returned to the water system) is 0,01 liters per kWhe (ETRI, 2014).</v>
      </c>
      <c r="E80" s="519"/>
      <c r="F80" s="519"/>
      <c r="G80" s="519"/>
      <c r="H80" s="519"/>
      <c r="I80" s="519"/>
      <c r="J80" s="519"/>
      <c r="K80" s="519"/>
      <c r="L80" s="519"/>
      <c r="M80" s="519"/>
      <c r="N80" s="519"/>
      <c r="O80" s="520"/>
      <c r="AZ80" s="107" t="str">
        <f>D80</f>
        <v>• Downside of utilizing heat for district heating is that the electrical efficiency of the CHP plant is lowered (loss of electricity production). For each GJth of drain heat supplied to a district heating network there is 0,18 GJe loss of electricity production (ECN, 2011). The higher the temperature of the heat, the higher the losses. ECN (2011) indicates a loss of 0,18 GJe/GJth for drain heat at 120 ᵒC and a loss of 0,09 GJe/GJth at 80 ᵒC (ECN, 2011).
• According to ETRI the water withdrawal is equal to 0,01 liters per kWhe and water consumption (i.e. water which is not returned to the water system) is 0,01 liters per kWhe (ETRI, 2014).</v>
      </c>
    </row>
    <row r="81" spans="1:52" ht="16.5" thickBot="1">
      <c r="A81" s="1"/>
      <c r="B81" s="311" t="s">
        <v>125</v>
      </c>
      <c r="C81" s="312"/>
      <c r="D81" s="312"/>
      <c r="E81" s="312"/>
      <c r="F81" s="312"/>
      <c r="G81" s="312"/>
      <c r="H81" s="312"/>
      <c r="I81" s="312"/>
      <c r="J81" s="312"/>
      <c r="K81" s="312"/>
      <c r="L81" s="312"/>
      <c r="M81" s="312"/>
      <c r="N81" s="312"/>
      <c r="O81" s="313"/>
      <c r="AZ81" s="107"/>
    </row>
    <row r="82" spans="1:52">
      <c r="A82" s="1"/>
      <c r="B82" s="415" t="str">
        <f>IF('Data input'!C91="Specify complete references and data sources used here"," ",'Data input'!C91)</f>
        <v>Ecofys (2014). Warmteladder. Available at: https://www.ecofys.com/files/files/ecofys-2014-warmteladder.pdf</v>
      </c>
      <c r="C82" s="416"/>
      <c r="D82" s="416"/>
      <c r="E82" s="416"/>
      <c r="F82" s="416"/>
      <c r="G82" s="416"/>
      <c r="H82" s="416"/>
      <c r="I82" s="416"/>
      <c r="J82" s="416"/>
      <c r="K82" s="416"/>
      <c r="L82" s="416"/>
      <c r="M82" s="416"/>
      <c r="N82" s="416"/>
      <c r="O82" s="417"/>
      <c r="AZ82" s="107" t="str">
        <f>B82</f>
        <v>Ecofys (2014). Warmteladder. Available at: https://www.ecofys.com/files/files/ecofys-2014-warmteladder.pdf</v>
      </c>
    </row>
    <row r="83" spans="1:52">
      <c r="A83" s="1" t="s">
        <v>282</v>
      </c>
      <c r="B83" s="399" t="str">
        <f>IF('Data input'!C92=""," ",'Data input'!C92)</f>
        <v>IEA (2015). Projected Costs of Generating Electricity 2015 Edition</v>
      </c>
      <c r="C83" s="196"/>
      <c r="D83" s="196"/>
      <c r="E83" s="196"/>
      <c r="F83" s="196"/>
      <c r="G83" s="196"/>
      <c r="H83" s="196"/>
      <c r="I83" s="196"/>
      <c r="J83" s="196"/>
      <c r="K83" s="196"/>
      <c r="L83" s="196"/>
      <c r="M83" s="196"/>
      <c r="N83" s="196"/>
      <c r="O83" s="400"/>
      <c r="AZ83" s="107" t="str">
        <f t="shared" ref="AZ83:AZ92" si="0">B83</f>
        <v>IEA (2015). Projected Costs of Generating Electricity 2015 Edition</v>
      </c>
    </row>
    <row r="84" spans="1:52" ht="47.25">
      <c r="A84" s="1"/>
      <c r="B84" s="399" t="str">
        <f>IF('Data input'!C93=""," ",'Data input'!C93)</f>
        <v xml:space="preserve">ETRI (2014). Carlsson J, Energy Technology Reference Indicator projections for 2010-2050, 2014 Edition, EUR 26950 EN, Publications Office of the European Union, Luxembourg, 2014, ISBN 978-92-79-44403-6, doi: 10.2790/057687, JRC92496
https://setis.ec.europa.eu/related-jrc-activities/jrc-setis-reports/etri-2014 </v>
      </c>
      <c r="C84" s="196"/>
      <c r="D84" s="196"/>
      <c r="E84" s="196"/>
      <c r="F84" s="196"/>
      <c r="G84" s="196"/>
      <c r="H84" s="196"/>
      <c r="I84" s="196"/>
      <c r="J84" s="196"/>
      <c r="K84" s="196"/>
      <c r="L84" s="196"/>
      <c r="M84" s="196"/>
      <c r="N84" s="196"/>
      <c r="O84" s="400"/>
      <c r="AZ84" s="107" t="str">
        <f t="shared" si="0"/>
        <v xml:space="preserve">ETRI (2014). Carlsson J, Energy Technology Reference Indicator projections for 2010-2050, 2014 Edition, EUR 26950 EN, Publications Office of the European Union, Luxembourg, 2014, ISBN 978-92-79-44403-6, doi: 10.2790/057687, JRC92496
https://setis.ec.europa.eu/related-jrc-activities/jrc-setis-reports/etri-2014 </v>
      </c>
    </row>
    <row r="85" spans="1:52">
      <c r="A85" s="1"/>
      <c r="B85" s="399" t="str">
        <f>IF('Data input'!C94=""," ",'Data input'!C94)</f>
        <v>IEA ETSAP (2010). Combined Heat and Power -  Technology Factsheet</v>
      </c>
      <c r="C85" s="196"/>
      <c r="D85" s="196"/>
      <c r="E85" s="196"/>
      <c r="F85" s="196"/>
      <c r="G85" s="196"/>
      <c r="H85" s="196"/>
      <c r="I85" s="196"/>
      <c r="J85" s="196"/>
      <c r="K85" s="196"/>
      <c r="L85" s="196"/>
      <c r="M85" s="196"/>
      <c r="N85" s="196"/>
      <c r="O85" s="400"/>
      <c r="AZ85" s="107" t="str">
        <f t="shared" si="0"/>
        <v>IEA ETSAP (2010). Combined Heat and Power -  Technology Factsheet</v>
      </c>
    </row>
    <row r="86" spans="1:52">
      <c r="A86" s="98"/>
      <c r="B86" s="399" t="str">
        <f>IF('Data input'!C95=""," ",'Data input'!C95)</f>
        <v>Gasterra (2008). Warmte en Kracht: WarmteKrachtKoppeling: een overzicht en leidraad</v>
      </c>
      <c r="C86" s="196"/>
      <c r="D86" s="196"/>
      <c r="E86" s="196"/>
      <c r="F86" s="196"/>
      <c r="G86" s="196"/>
      <c r="H86" s="196"/>
      <c r="I86" s="196"/>
      <c r="J86" s="196"/>
      <c r="K86" s="196"/>
      <c r="L86" s="196"/>
      <c r="M86" s="196"/>
      <c r="N86" s="196"/>
      <c r="O86" s="400"/>
      <c r="AZ86" s="107" t="str">
        <f t="shared" si="0"/>
        <v>Gasterra (2008). Warmte en Kracht: WarmteKrachtKoppeling: een overzicht en leidraad</v>
      </c>
    </row>
    <row r="87" spans="1:52">
      <c r="A87" s="1"/>
      <c r="B87" s="399" t="str">
        <f>IF('Data input'!C96=""," ",'Data input'!C96)</f>
        <v>PBL (2017). Functioneel ontwerp VESTA 3.0.</v>
      </c>
      <c r="C87" s="196"/>
      <c r="D87" s="196"/>
      <c r="E87" s="196"/>
      <c r="F87" s="196"/>
      <c r="G87" s="196"/>
      <c r="H87" s="196"/>
      <c r="I87" s="196"/>
      <c r="J87" s="196"/>
      <c r="K87" s="196"/>
      <c r="L87" s="196"/>
      <c r="M87" s="196"/>
      <c r="N87" s="196"/>
      <c r="O87" s="400"/>
      <c r="AZ87" s="107" t="str">
        <f t="shared" si="0"/>
        <v>PBL (2017). Functioneel ontwerp VESTA 3.0.</v>
      </c>
    </row>
    <row r="88" spans="1:52">
      <c r="A88" s="1"/>
      <c r="B88" s="399" t="str">
        <f>IF('Data input'!C97=""," ",'Data input'!C97)</f>
        <v>ECN (2011) Restwarmtebenutting, potentielen, besparing, alternatieven</v>
      </c>
      <c r="C88" s="196"/>
      <c r="D88" s="196"/>
      <c r="E88" s="196"/>
      <c r="F88" s="196"/>
      <c r="G88" s="196"/>
      <c r="H88" s="196"/>
      <c r="I88" s="196"/>
      <c r="J88" s="196"/>
      <c r="K88" s="196"/>
      <c r="L88" s="196"/>
      <c r="M88" s="196"/>
      <c r="N88" s="196"/>
      <c r="O88" s="400"/>
      <c r="AZ88" s="107" t="str">
        <f t="shared" si="0"/>
        <v>ECN (2011) Restwarmtebenutting, potentielen, besparing, alternatieven</v>
      </c>
    </row>
    <row r="89" spans="1:52" ht="15.75" customHeight="1">
      <c r="A89" s="1"/>
      <c r="B89" s="399" t="str">
        <f>IF('Data input'!C98=""," ",'Data input'!C98)</f>
        <v xml:space="preserve">ECN (2010). Kolencentrales Eemshaven Dwingende redenen openbaar belang Antwoorden op vragen van het Ministerie van EL&amp;I. 
</v>
      </c>
      <c r="C89" s="196"/>
      <c r="D89" s="196"/>
      <c r="E89" s="196"/>
      <c r="F89" s="196"/>
      <c r="G89" s="196"/>
      <c r="H89" s="196"/>
      <c r="I89" s="196"/>
      <c r="J89" s="196"/>
      <c r="K89" s="196"/>
      <c r="L89" s="196"/>
      <c r="M89" s="196"/>
      <c r="N89" s="196"/>
      <c r="O89" s="400"/>
      <c r="AZ89" s="107" t="str">
        <f t="shared" si="0"/>
        <v xml:space="preserve">ECN (2010). Kolencentrales Eemshaven Dwingende redenen openbaar belang Antwoorden op vragen van het Ministerie van EL&amp;I. 
</v>
      </c>
    </row>
    <row r="90" spans="1:52">
      <c r="A90" s="1"/>
      <c r="B90" s="399" t="str">
        <f>IF('Data input'!C99=""," ",'Data input'!C99)</f>
        <v>ECN (2017a). Monitoring Warmte 2015</v>
      </c>
      <c r="C90" s="196"/>
      <c r="D90" s="196"/>
      <c r="E90" s="196"/>
      <c r="F90" s="196"/>
      <c r="G90" s="196"/>
      <c r="H90" s="196"/>
      <c r="I90" s="196"/>
      <c r="J90" s="196"/>
      <c r="K90" s="196"/>
      <c r="L90" s="196"/>
      <c r="M90" s="196"/>
      <c r="N90" s="196"/>
      <c r="O90" s="400"/>
      <c r="AZ90" s="107" t="str">
        <f t="shared" si="0"/>
        <v>ECN (2017a). Monitoring Warmte 2015</v>
      </c>
    </row>
    <row r="91" spans="1:52" ht="17.25" customHeight="1">
      <c r="A91" s="1"/>
      <c r="B91" s="399" t="str">
        <f>IF('Data input'!C100=""," ",'Data input'!C100)</f>
        <v xml:space="preserve">ECN (2017b). Nationale Energieverkenning 2017
</v>
      </c>
      <c r="C91" s="196"/>
      <c r="D91" s="196"/>
      <c r="E91" s="196"/>
      <c r="F91" s="196"/>
      <c r="G91" s="196"/>
      <c r="H91" s="196"/>
      <c r="I91" s="196"/>
      <c r="J91" s="196"/>
      <c r="K91" s="196"/>
      <c r="L91" s="196"/>
      <c r="M91" s="196"/>
      <c r="N91" s="196"/>
      <c r="O91" s="400"/>
      <c r="AZ91" s="107" t="str">
        <f t="shared" si="0"/>
        <v xml:space="preserve">ECN (2017b). Nationale Energieverkenning 2017
</v>
      </c>
    </row>
    <row r="92" spans="1:52" ht="17.25" customHeight="1" thickBot="1">
      <c r="A92" s="1"/>
      <c r="B92" s="405" t="str">
        <f>IF('Data input'!C101="Add other sources here"," ",'Data input'!C101)</f>
        <v xml:space="preserve">ECN (2019). Monitoring Warmte 2017
</v>
      </c>
      <c r="C92" s="406"/>
      <c r="D92" s="406"/>
      <c r="E92" s="406"/>
      <c r="F92" s="406"/>
      <c r="G92" s="406"/>
      <c r="H92" s="406"/>
      <c r="I92" s="406"/>
      <c r="J92" s="406"/>
      <c r="K92" s="406"/>
      <c r="L92" s="406"/>
      <c r="M92" s="406"/>
      <c r="N92" s="406"/>
      <c r="O92" s="407"/>
      <c r="AZ92" s="107" t="str">
        <f t="shared" si="0"/>
        <v xml:space="preserve">ECN (2019). Monitoring Warmte 2017
</v>
      </c>
    </row>
  </sheetData>
  <sheetProtection algorithmName="SHA-512" hashValue="YOETcIo/A9E0jEfLwUo8e3Vw1zupOSgvriyw/523UPNIuOeQDV89SEEqCLE+MCR4y2nDp2ftH+z08YY8VV533w==" saltValue="F/tZKAJx3MAOAHgsL9LgwQ==" spinCount="100000" sheet="1" objects="1" scenarios="1"/>
  <mergeCells count="200">
    <mergeCell ref="B91:O91"/>
    <mergeCell ref="B92:O92"/>
    <mergeCell ref="D20:E21"/>
    <mergeCell ref="F20:F21"/>
    <mergeCell ref="B34:C35"/>
    <mergeCell ref="D44:E44"/>
    <mergeCell ref="D43:E43"/>
    <mergeCell ref="B24:C24"/>
    <mergeCell ref="B82:O82"/>
    <mergeCell ref="B83:O83"/>
    <mergeCell ref="B84:O84"/>
    <mergeCell ref="B85:O85"/>
    <mergeCell ref="B86:O86"/>
    <mergeCell ref="B87:O87"/>
    <mergeCell ref="G65:I65"/>
    <mergeCell ref="J65:L65"/>
    <mergeCell ref="F56:F57"/>
    <mergeCell ref="G56:I56"/>
    <mergeCell ref="J56:L56"/>
    <mergeCell ref="M53:O53"/>
    <mergeCell ref="D51:O51"/>
    <mergeCell ref="B89:O89"/>
    <mergeCell ref="B90:O90"/>
    <mergeCell ref="M63:O63"/>
    <mergeCell ref="B88:O88"/>
    <mergeCell ref="J60:L60"/>
    <mergeCell ref="M60:O60"/>
    <mergeCell ref="D60:E60"/>
    <mergeCell ref="D61:E62"/>
    <mergeCell ref="F61:F62"/>
    <mergeCell ref="G61:I61"/>
    <mergeCell ref="J61:L61"/>
    <mergeCell ref="M61:O61"/>
    <mergeCell ref="D63:E64"/>
    <mergeCell ref="F63:F64"/>
    <mergeCell ref="B72:C73"/>
    <mergeCell ref="D72:F73"/>
    <mergeCell ref="D71:F71"/>
    <mergeCell ref="B74:C75"/>
    <mergeCell ref="D74:F75"/>
    <mergeCell ref="G74:I74"/>
    <mergeCell ref="J74:L74"/>
    <mergeCell ref="M74:O74"/>
    <mergeCell ref="B76:C77"/>
    <mergeCell ref="D76:F77"/>
    <mergeCell ref="G76:I76"/>
    <mergeCell ref="B71:C71"/>
    <mergeCell ref="J76:L76"/>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B81:O81"/>
    <mergeCell ref="B70:O70"/>
    <mergeCell ref="G71:I71"/>
    <mergeCell ref="J71:L71"/>
    <mergeCell ref="M71:O71"/>
    <mergeCell ref="G72:I72"/>
    <mergeCell ref="J72:L72"/>
    <mergeCell ref="M72:O72"/>
    <mergeCell ref="B69:C69"/>
    <mergeCell ref="D69:O69"/>
    <mergeCell ref="M76:O76"/>
    <mergeCell ref="B78:C79"/>
    <mergeCell ref="D78:F79"/>
    <mergeCell ref="G78:I78"/>
    <mergeCell ref="J78:L78"/>
    <mergeCell ref="M78:O78"/>
    <mergeCell ref="B80:C80"/>
    <mergeCell ref="D80:O80"/>
    <mergeCell ref="D67:E68"/>
    <mergeCell ref="F67:F68"/>
    <mergeCell ref="B59:O59"/>
    <mergeCell ref="B60:C68"/>
    <mergeCell ref="G60:I60"/>
    <mergeCell ref="D56:E57"/>
    <mergeCell ref="D65:E66"/>
    <mergeCell ref="F65:F66"/>
    <mergeCell ref="G63:I63"/>
    <mergeCell ref="J63:L63"/>
    <mergeCell ref="B53:C57"/>
    <mergeCell ref="G53:I53"/>
    <mergeCell ref="J53:L53"/>
    <mergeCell ref="D58:O58"/>
  </mergeCells>
  <conditionalFormatting sqref="D6:D9">
    <cfRule type="containsText" dxfId="74" priority="112" operator="containsText" text="Please select">
      <formula>NOT(ISERROR(SEARCH("Please select",D6)))</formula>
    </cfRule>
  </conditionalFormatting>
  <conditionalFormatting sqref="D10:O10">
    <cfRule type="containsText" dxfId="73" priority="108" operator="containsText" text="Specify here">
      <formula>NOT(ISERROR(SEARCH("Specify here",D10)))</formula>
    </cfRule>
  </conditionalFormatting>
  <conditionalFormatting sqref="D4:O5">
    <cfRule type="containsText" dxfId="72" priority="107" operator="containsText" text="DD-MM-YYYY">
      <formula>NOT(ISERROR(SEARCH("DD-MM-YYYY",D4)))</formula>
    </cfRule>
  </conditionalFormatting>
  <conditionalFormatting sqref="D11:O11">
    <cfRule type="containsText" dxfId="71" priority="104" operator="containsText" text="Select the observed or expected TRL level in 2020">
      <formula>NOT(ISERROR(SEARCH("Select the observed or expected TRL level in 2020",D11)))</formula>
    </cfRule>
    <cfRule type="containsText" dxfId="70" priority="106" operator="containsText" text="Specify here the observed or expected TRL level in 2020">
      <formula>NOT(ISERROR(SEARCH("Specify here the observed or expected TRL level in 2020",D11)))</formula>
    </cfRule>
  </conditionalFormatting>
  <conditionalFormatting sqref="D12:O12">
    <cfRule type="containsText" dxfId="69" priority="105" operator="containsText" text="Explain here">
      <formula>NOT(ISERROR(SEARCH("Explain here",D12)))</formula>
    </cfRule>
  </conditionalFormatting>
  <conditionalFormatting sqref="D30">
    <cfRule type="containsText" dxfId="68" priority="102" operator="containsText" text="Specify here">
      <formula>NOT(ISERROR(SEARCH("Specify here",D30)))</formula>
    </cfRule>
  </conditionalFormatting>
  <conditionalFormatting sqref="D40:O40">
    <cfRule type="containsText" dxfId="67" priority="101" operator="containsText" text="Explain here (e.g. other costs)">
      <formula>NOT(ISERROR(SEARCH("Explain here (e.g. other costs)",D40)))</formula>
    </cfRule>
  </conditionalFormatting>
  <conditionalFormatting sqref="D51:O51">
    <cfRule type="containsText" dxfId="66" priority="100" operator="containsText" text="Explain here (e.g. flexible in and out)">
      <formula>NOT(ISERROR(SEARCH("Explain here (e.g. flexible in and out)",D51)))</formula>
    </cfRule>
  </conditionalFormatting>
  <conditionalFormatting sqref="D44">
    <cfRule type="containsText" dxfId="65" priority="99" operator="containsText" text="Select">
      <formula>NOT(ISERROR(SEARCH("Select",D44)))</formula>
    </cfRule>
  </conditionalFormatting>
  <conditionalFormatting sqref="D58:O58">
    <cfRule type="containsText" dxfId="64" priority="95" operator="containsText" text="Explain here">
      <formula>NOT(ISERROR(SEARCH("Explain here",D58)))</formula>
    </cfRule>
  </conditionalFormatting>
  <conditionalFormatting sqref="D54">
    <cfRule type="containsText" dxfId="63" priority="94" operator="containsText" text="Select">
      <formula>NOT(ISERROR(SEARCH("Select",D54)))</formula>
    </cfRule>
  </conditionalFormatting>
  <conditionalFormatting sqref="D15:F16 D22:F23 D25:F27 D24:E24">
    <cfRule type="containsText" dxfId="62" priority="88" operator="containsText" text="Please select">
      <formula>NOT(ISERROR(SEARCH("Please select",D15)))</formula>
    </cfRule>
  </conditionalFormatting>
  <conditionalFormatting sqref="D17 F17">
    <cfRule type="containsText" dxfId="61" priority="79" operator="containsText" text="Please select 'Functional Unit' above">
      <formula>NOT(ISERROR(SEARCH("Please select 'Functional Unit' above",D17)))</formula>
    </cfRule>
  </conditionalFormatting>
  <conditionalFormatting sqref="E32">
    <cfRule type="containsText" dxfId="60" priority="77" operator="containsText" text="Please select 'Functional Unit' above">
      <formula>NOT(ISERROR(SEARCH("Please select 'Functional Unit' above",E32)))</formula>
    </cfRule>
  </conditionalFormatting>
  <conditionalFormatting sqref="E34">
    <cfRule type="containsText" dxfId="59" priority="76" operator="containsText" text="Please select 'Functional Unit' above">
      <formula>NOT(ISERROR(SEARCH("Please select 'Functional Unit' above",E34)))</formula>
    </cfRule>
  </conditionalFormatting>
  <conditionalFormatting sqref="E36">
    <cfRule type="containsText" dxfId="58" priority="75" operator="containsText" text="Please select 'Functional Unit' above">
      <formula>NOT(ISERROR(SEARCH("Please select 'Functional Unit' above",E36)))</formula>
    </cfRule>
  </conditionalFormatting>
  <conditionalFormatting sqref="D61">
    <cfRule type="containsText" dxfId="57" priority="59" operator="containsText" text="Select">
      <formula>NOT(ISERROR(SEARCH("Select",D61)))</formula>
    </cfRule>
  </conditionalFormatting>
  <conditionalFormatting sqref="F61:F68">
    <cfRule type="containsText" dxfId="56" priority="52" operator="containsText" text="Please select">
      <formula>NOT(ISERROR(SEARCH("Please select",F61)))</formula>
    </cfRule>
  </conditionalFormatting>
  <conditionalFormatting sqref="D28:O28">
    <cfRule type="containsText" dxfId="55" priority="33" operator="containsText" text="Explain here">
      <formula>NOT(ISERROR(SEARCH("Explain here",D28)))</formula>
    </cfRule>
  </conditionalFormatting>
  <conditionalFormatting sqref="D69:O69">
    <cfRule type="containsText" dxfId="54" priority="45" operator="containsText" text="Explain here">
      <formula>NOT(ISERROR(SEARCH("Explain here",D69)))</formula>
    </cfRule>
  </conditionalFormatting>
  <conditionalFormatting sqref="B82:B92">
    <cfRule type="containsText" dxfId="53" priority="44" operator="containsText" text="Specify data sources and references here">
      <formula>NOT(ISERROR(SEARCH("Specify data sources and references here",B82)))</formula>
    </cfRule>
  </conditionalFormatting>
  <conditionalFormatting sqref="E38">
    <cfRule type="containsText" dxfId="52" priority="43" operator="containsText" text="Please select 'Functional Unit' above">
      <formula>NOT(ISERROR(SEARCH("Please select 'Functional Unit' above",E38)))</formula>
    </cfRule>
  </conditionalFormatting>
  <conditionalFormatting sqref="F43:F50">
    <cfRule type="containsText" dxfId="51" priority="41" operator="containsText" text="Please select">
      <formula>NOT(ISERROR(SEARCH("Please select",F43)))</formula>
    </cfRule>
  </conditionalFormatting>
  <conditionalFormatting sqref="G32:O39 G43:O50 G54:O57 G61:O68">
    <cfRule type="containsText" dxfId="50" priority="37" operator="containsText" text="Max">
      <formula>NOT(ISERROR(SEARCH("Max",G32)))</formula>
    </cfRule>
    <cfRule type="containsText" dxfId="49" priority="38" operator="containsText" text="Min">
      <formula>NOT(ISERROR(SEARCH("Min",G32)))</formula>
    </cfRule>
    <cfRule type="containsText" dxfId="48" priority="39" operator="containsText" text="Specify ">
      <formula>NOT(ISERROR(SEARCH("Specify ",G32)))</formula>
    </cfRule>
  </conditionalFormatting>
  <conditionalFormatting sqref="D45">
    <cfRule type="containsText" dxfId="47" priority="32" operator="containsText" text="Select">
      <formula>NOT(ISERROR(SEARCH("Select",D45)))</formula>
    </cfRule>
  </conditionalFormatting>
  <conditionalFormatting sqref="D47">
    <cfRule type="containsText" dxfId="46" priority="31" operator="containsText" text="Select">
      <formula>NOT(ISERROR(SEARCH("Select",D47)))</formula>
    </cfRule>
  </conditionalFormatting>
  <conditionalFormatting sqref="D49">
    <cfRule type="containsText" dxfId="45" priority="30" operator="containsText" text="Select">
      <formula>NOT(ISERROR(SEARCH("Select",D49)))</formula>
    </cfRule>
  </conditionalFormatting>
  <conditionalFormatting sqref="D56">
    <cfRule type="containsText" dxfId="44" priority="29" operator="containsText" text="Select">
      <formula>NOT(ISERROR(SEARCH("Select",D56)))</formula>
    </cfRule>
  </conditionalFormatting>
  <conditionalFormatting sqref="D63">
    <cfRule type="containsText" dxfId="43" priority="28" operator="containsText" text="Select">
      <formula>NOT(ISERROR(SEARCH("Select",D63)))</formula>
    </cfRule>
  </conditionalFormatting>
  <conditionalFormatting sqref="D65">
    <cfRule type="containsText" dxfId="42" priority="27" operator="containsText" text="Select">
      <formula>NOT(ISERROR(SEARCH("Select",D65)))</formula>
    </cfRule>
  </conditionalFormatting>
  <conditionalFormatting sqref="D67">
    <cfRule type="containsText" dxfId="41" priority="26" operator="containsText" text="Select">
      <formula>NOT(ISERROR(SEARCH("Select",D67)))</formula>
    </cfRule>
  </conditionalFormatting>
  <conditionalFormatting sqref="J73:O73">
    <cfRule type="containsText" dxfId="40" priority="20" operator="containsText" text="Max">
      <formula>NOT(ISERROR(SEARCH("Max",J73)))</formula>
    </cfRule>
    <cfRule type="containsText" dxfId="39" priority="21" operator="containsText" text="Min">
      <formula>NOT(ISERROR(SEARCH("Min",J73)))</formula>
    </cfRule>
    <cfRule type="containsText" dxfId="38" priority="22" operator="containsText" text="Specify ">
      <formula>NOT(ISERROR(SEARCH("Specify ",J73)))</formula>
    </cfRule>
  </conditionalFormatting>
  <conditionalFormatting sqref="D20 F20">
    <cfRule type="containsText" dxfId="37" priority="19" operator="containsText" text="Please select 'Functional Unit' above">
      <formula>NOT(ISERROR(SEARCH("Please select 'Functional Unit' above",D20)))</formula>
    </cfRule>
  </conditionalFormatting>
  <conditionalFormatting sqref="G18:O21">
    <cfRule type="containsText" dxfId="36" priority="16" operator="containsText" text="Max">
      <formula>NOT(ISERROR(SEARCH("Max",G18)))</formula>
    </cfRule>
    <cfRule type="containsText" dxfId="35" priority="17" operator="containsText" text="Min">
      <formula>NOT(ISERROR(SEARCH("Min",G18)))</formula>
    </cfRule>
    <cfRule type="containsText" dxfId="34" priority="18" operator="containsText" text="Specify ">
      <formula>NOT(ISERROR(SEARCH("Specify ",G18)))</formula>
    </cfRule>
  </conditionalFormatting>
  <conditionalFormatting sqref="G16:I16">
    <cfRule type="containsText" dxfId="33" priority="15" operator="containsText" text="min">
      <formula>NOT(ISERROR(SEARCH("min",G16)))</formula>
    </cfRule>
  </conditionalFormatting>
  <conditionalFormatting sqref="M16:O16">
    <cfRule type="containsText" dxfId="32" priority="14" operator="containsText" text="max">
      <formula>NOT(ISERROR(SEARCH("max",M16)))</formula>
    </cfRule>
  </conditionalFormatting>
  <conditionalFormatting sqref="G75:O75">
    <cfRule type="containsText" dxfId="31" priority="11" operator="containsText" text="Max">
      <formula>NOT(ISERROR(SEARCH("Max",G75)))</formula>
    </cfRule>
    <cfRule type="containsText" dxfId="30" priority="12" operator="containsText" text="Min">
      <formula>NOT(ISERROR(SEARCH("Min",G75)))</formula>
    </cfRule>
    <cfRule type="containsText" dxfId="29" priority="13" operator="containsText" text="Specify ">
      <formula>NOT(ISERROR(SEARCH("Specify ",G75)))</formula>
    </cfRule>
  </conditionalFormatting>
  <conditionalFormatting sqref="G77:O77">
    <cfRule type="containsText" dxfId="28" priority="8" operator="containsText" text="Max">
      <formula>NOT(ISERROR(SEARCH("Max",G77)))</formula>
    </cfRule>
    <cfRule type="containsText" dxfId="27" priority="9" operator="containsText" text="Min">
      <formula>NOT(ISERROR(SEARCH("Min",G77)))</formula>
    </cfRule>
    <cfRule type="containsText" dxfId="26" priority="10" operator="containsText" text="Specify ">
      <formula>NOT(ISERROR(SEARCH("Specify ",G77)))</formula>
    </cfRule>
  </conditionalFormatting>
  <conditionalFormatting sqref="G79:O79">
    <cfRule type="containsText" dxfId="25" priority="5" operator="containsText" text="Max">
      <formula>NOT(ISERROR(SEARCH("Max",G79)))</formula>
    </cfRule>
    <cfRule type="containsText" dxfId="24" priority="6" operator="containsText" text="Min">
      <formula>NOT(ISERROR(SEARCH("Min",G79)))</formula>
    </cfRule>
    <cfRule type="containsText" dxfId="23" priority="7" operator="containsText" text="Specify ">
      <formula>NOT(ISERROR(SEARCH("Specify ",G79)))</formula>
    </cfRule>
  </conditionalFormatting>
  <conditionalFormatting sqref="D80:O80">
    <cfRule type="containsText" dxfId="22" priority="4" operator="containsText" text="Explain here">
      <formula>NOT(ISERROR(SEARCH("Explain here",D80)))</formula>
    </cfRule>
  </conditionalFormatting>
  <conditionalFormatting sqref="G73:I73">
    <cfRule type="containsText" dxfId="21" priority="1" operator="containsText" text="Max">
      <formula>NOT(ISERROR(SEARCH("Max",G73)))</formula>
    </cfRule>
    <cfRule type="containsText" dxfId="20" priority="2" operator="containsText" text="Min">
      <formula>NOT(ISERROR(SEARCH("Min",G73)))</formula>
    </cfRule>
    <cfRule type="containsText" dxfId="19" priority="3" operator="containsText" text="Specify ">
      <formula>NOT(ISERROR(SEARCH("Specify ",G73)))</formula>
    </cfRule>
  </conditionalFormatting>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X84"/>
  <sheetViews>
    <sheetView zoomScaleNormal="100" workbookViewId="0">
      <pane ySplit="1" topLeftCell="A4" activePane="bottomLeft" state="frozen"/>
      <selection pane="bottomLeft" activeCell="E69" sqref="E69:E71"/>
      <selection activeCell="E69" sqref="E69:E71"/>
    </sheetView>
  </sheetViews>
  <sheetFormatPr defaultColWidth="9" defaultRowHeight="15.75"/>
  <cols>
    <col min="1" max="1" width="10.25" style="1" bestFit="1" customWidth="1"/>
    <col min="2" max="2" width="24" style="1" bestFit="1" customWidth="1"/>
    <col min="3" max="3" width="10.25" style="1" bestFit="1" customWidth="1"/>
    <col min="4" max="6" width="18.375" style="1" customWidth="1"/>
    <col min="7" max="7" width="10.25" style="1" bestFit="1" customWidth="1"/>
    <col min="8" max="8" width="13.875" style="1" bestFit="1" customWidth="1"/>
    <col min="9" max="9" width="10.25" style="1" bestFit="1" customWidth="1"/>
    <col min="10" max="10" width="25.75" style="1" customWidth="1"/>
    <col min="11" max="11" width="10.25" style="1" bestFit="1" customWidth="1"/>
    <col min="12" max="12" width="19.375" style="1" bestFit="1" customWidth="1"/>
    <col min="13" max="13" width="10.25" style="1" bestFit="1" customWidth="1"/>
    <col min="14" max="14" width="14" style="1" customWidth="1"/>
    <col min="15" max="15" width="10.25" style="1" bestFit="1" customWidth="1"/>
    <col min="16" max="16" width="13.125" style="1" bestFit="1" customWidth="1"/>
    <col min="17" max="17" width="10.25" style="1" bestFit="1" customWidth="1"/>
    <col min="18" max="18" width="14.5" style="1" bestFit="1" customWidth="1"/>
    <col min="19" max="23" width="9" style="1"/>
    <col min="24" max="24" width="9" style="1" hidden="1" customWidth="1"/>
    <col min="25" max="16384" width="9" style="1"/>
  </cols>
  <sheetData>
    <row r="1" spans="1:24">
      <c r="A1" s="15"/>
      <c r="B1" s="15" t="s">
        <v>283</v>
      </c>
      <c r="D1" s="15" t="s">
        <v>284</v>
      </c>
      <c r="E1" s="15"/>
      <c r="F1" s="15" t="s">
        <v>285</v>
      </c>
      <c r="G1" s="15"/>
      <c r="H1" s="15" t="s">
        <v>286</v>
      </c>
      <c r="J1" s="15" t="s">
        <v>287</v>
      </c>
      <c r="K1" s="15"/>
      <c r="L1" s="15" t="s">
        <v>288</v>
      </c>
      <c r="M1" s="15"/>
      <c r="N1" s="15" t="s">
        <v>289</v>
      </c>
      <c r="O1" s="15"/>
      <c r="P1" s="15" t="s">
        <v>290</v>
      </c>
      <c r="Q1" s="15"/>
      <c r="R1" s="15" t="s">
        <v>291</v>
      </c>
    </row>
    <row r="2" spans="1:24" hidden="1">
      <c r="A2" s="15"/>
      <c r="B2" s="15"/>
      <c r="D2" s="15"/>
      <c r="E2" s="15"/>
      <c r="F2" s="15"/>
      <c r="G2" s="15"/>
      <c r="H2" s="15"/>
      <c r="J2" s="16" t="s">
        <v>292</v>
      </c>
      <c r="K2" s="15"/>
      <c r="L2" s="15"/>
      <c r="M2" s="15"/>
      <c r="N2" s="15"/>
      <c r="O2" s="15"/>
      <c r="P2" s="15"/>
      <c r="Q2" s="15"/>
      <c r="R2" s="15"/>
      <c r="X2" s="16" t="s">
        <v>219</v>
      </c>
    </row>
    <row r="3" spans="1:24" hidden="1">
      <c r="A3" s="16"/>
      <c r="B3" s="16" t="s">
        <v>219</v>
      </c>
      <c r="D3" s="16" t="s">
        <v>219</v>
      </c>
      <c r="E3" s="16"/>
      <c r="F3" s="16" t="s">
        <v>219</v>
      </c>
      <c r="G3" s="16"/>
      <c r="H3" s="16" t="s">
        <v>219</v>
      </c>
      <c r="I3" s="16"/>
      <c r="J3" s="16" t="s">
        <v>219</v>
      </c>
      <c r="K3" s="16"/>
      <c r="L3" s="16" t="s">
        <v>219</v>
      </c>
      <c r="M3" s="5"/>
      <c r="N3" s="16" t="s">
        <v>219</v>
      </c>
      <c r="O3" s="16"/>
      <c r="P3" s="16" t="s">
        <v>219</v>
      </c>
      <c r="Q3" s="16"/>
      <c r="R3" s="16" t="s">
        <v>219</v>
      </c>
      <c r="X3" s="1" t="s">
        <v>174</v>
      </c>
    </row>
    <row r="4" spans="1:24">
      <c r="B4" s="1" t="s">
        <v>293</v>
      </c>
      <c r="D4" s="1" t="s">
        <v>294</v>
      </c>
      <c r="F4" s="1" t="s">
        <v>131</v>
      </c>
      <c r="H4" s="1" t="s">
        <v>295</v>
      </c>
      <c r="J4" s="1" t="s">
        <v>296</v>
      </c>
      <c r="L4" s="38" t="s">
        <v>145</v>
      </c>
      <c r="M4" s="5"/>
      <c r="N4" s="35"/>
      <c r="P4" s="1" t="s">
        <v>297</v>
      </c>
      <c r="R4" s="1" t="s">
        <v>133</v>
      </c>
      <c r="X4" s="1" t="s">
        <v>298</v>
      </c>
    </row>
    <row r="5" spans="1:24">
      <c r="B5" s="1" t="s">
        <v>299</v>
      </c>
      <c r="D5" s="1" t="s">
        <v>300</v>
      </c>
      <c r="F5" s="1" t="s">
        <v>268</v>
      </c>
      <c r="H5" s="1" t="s">
        <v>301</v>
      </c>
      <c r="J5" s="1" t="s">
        <v>302</v>
      </c>
      <c r="K5" s="5" t="s">
        <v>303</v>
      </c>
      <c r="L5" s="35"/>
      <c r="M5" s="5" t="s">
        <v>303</v>
      </c>
      <c r="P5" s="1" t="s">
        <v>304</v>
      </c>
      <c r="R5" s="1" t="s">
        <v>135</v>
      </c>
    </row>
    <row r="6" spans="1:24">
      <c r="B6" s="1" t="s">
        <v>305</v>
      </c>
      <c r="D6" s="1" t="s">
        <v>306</v>
      </c>
      <c r="F6" s="1" t="s">
        <v>133</v>
      </c>
      <c r="H6" s="1" t="s">
        <v>307</v>
      </c>
      <c r="J6" s="1" t="s">
        <v>308</v>
      </c>
      <c r="K6" s="5" t="s">
        <v>303</v>
      </c>
      <c r="L6" s="35"/>
      <c r="M6" s="5" t="s">
        <v>303</v>
      </c>
      <c r="P6" s="1" t="s">
        <v>309</v>
      </c>
      <c r="R6" s="1" t="s">
        <v>310</v>
      </c>
      <c r="X6" s="1" t="s">
        <v>219</v>
      </c>
    </row>
    <row r="7" spans="1:24">
      <c r="B7" s="1" t="s">
        <v>311</v>
      </c>
      <c r="D7" s="1" t="s">
        <v>312</v>
      </c>
      <c r="F7" s="1" t="s">
        <v>135</v>
      </c>
      <c r="H7" s="1" t="s">
        <v>313</v>
      </c>
      <c r="J7" s="1" t="s">
        <v>314</v>
      </c>
      <c r="K7" s="5" t="s">
        <v>303</v>
      </c>
      <c r="L7" s="35"/>
      <c r="M7" s="5" t="s">
        <v>303</v>
      </c>
      <c r="P7" s="1" t="s">
        <v>315</v>
      </c>
      <c r="Q7" s="5" t="s">
        <v>303</v>
      </c>
      <c r="X7" s="1" t="s">
        <v>197</v>
      </c>
    </row>
    <row r="8" spans="1:24">
      <c r="B8" s="1" t="s">
        <v>316</v>
      </c>
      <c r="D8" s="1" t="s">
        <v>317</v>
      </c>
      <c r="F8" s="1" t="s">
        <v>137</v>
      </c>
      <c r="H8" s="1" t="s">
        <v>318</v>
      </c>
      <c r="J8" s="1" t="s">
        <v>319</v>
      </c>
      <c r="K8" s="5" t="s">
        <v>303</v>
      </c>
      <c r="M8" s="5" t="s">
        <v>303</v>
      </c>
      <c r="P8" s="1" t="s">
        <v>320</v>
      </c>
      <c r="Q8" s="5" t="s">
        <v>303</v>
      </c>
      <c r="X8" s="1" t="s">
        <v>321</v>
      </c>
    </row>
    <row r="9" spans="1:24">
      <c r="B9" s="1" t="s">
        <v>322</v>
      </c>
      <c r="C9" s="5"/>
      <c r="D9" s="1" t="s">
        <v>175</v>
      </c>
      <c r="F9" s="1" t="s">
        <v>139</v>
      </c>
      <c r="H9" s="1" t="s">
        <v>323</v>
      </c>
      <c r="J9" s="1" t="s">
        <v>324</v>
      </c>
      <c r="K9" s="5" t="s">
        <v>303</v>
      </c>
      <c r="M9" s="5" t="s">
        <v>303</v>
      </c>
      <c r="P9" s="1" t="s">
        <v>325</v>
      </c>
      <c r="Q9" s="5" t="s">
        <v>303</v>
      </c>
    </row>
    <row r="10" spans="1:24">
      <c r="B10" s="1" t="s">
        <v>326</v>
      </c>
      <c r="C10" s="5"/>
      <c r="D10" s="1" t="s">
        <v>327</v>
      </c>
      <c r="F10" s="1" t="s">
        <v>141</v>
      </c>
      <c r="H10" s="1" t="s">
        <v>328</v>
      </c>
      <c r="J10" s="1" t="s">
        <v>329</v>
      </c>
      <c r="M10" s="5" t="s">
        <v>303</v>
      </c>
      <c r="P10" s="1" t="s">
        <v>330</v>
      </c>
      <c r="Q10" s="5" t="s">
        <v>303</v>
      </c>
      <c r="X10" s="16" t="s">
        <v>331</v>
      </c>
    </row>
    <row r="11" spans="1:24">
      <c r="B11" s="1" t="s">
        <v>332</v>
      </c>
      <c r="C11" s="5"/>
      <c r="D11" s="1" t="s">
        <v>333</v>
      </c>
      <c r="F11" s="1" t="s">
        <v>143</v>
      </c>
      <c r="G11" s="5" t="s">
        <v>303</v>
      </c>
      <c r="H11" s="1" t="s">
        <v>334</v>
      </c>
      <c r="J11" s="1" t="s">
        <v>335</v>
      </c>
      <c r="M11" s="5" t="s">
        <v>303</v>
      </c>
      <c r="P11" s="1" t="s">
        <v>336</v>
      </c>
      <c r="Q11" s="5" t="s">
        <v>303</v>
      </c>
      <c r="X11" s="1" t="s">
        <v>191</v>
      </c>
    </row>
    <row r="12" spans="1:24">
      <c r="B12" s="1" t="s">
        <v>337</v>
      </c>
      <c r="C12" s="5"/>
      <c r="D12" s="1" t="s">
        <v>338</v>
      </c>
      <c r="F12" s="1" t="s">
        <v>145</v>
      </c>
      <c r="G12" s="5" t="s">
        <v>303</v>
      </c>
      <c r="H12" s="1" t="s">
        <v>196</v>
      </c>
      <c r="J12" s="1" t="s">
        <v>339</v>
      </c>
      <c r="M12" s="5" t="s">
        <v>303</v>
      </c>
      <c r="P12" s="1" t="s">
        <v>340</v>
      </c>
      <c r="X12" s="1" t="s">
        <v>341</v>
      </c>
    </row>
    <row r="13" spans="1:24">
      <c r="B13" s="1" t="s">
        <v>342</v>
      </c>
      <c r="C13" s="5" t="s">
        <v>303</v>
      </c>
      <c r="E13" s="5" t="s">
        <v>303</v>
      </c>
      <c r="F13" s="1" t="s">
        <v>179</v>
      </c>
      <c r="G13" s="5" t="s">
        <v>303</v>
      </c>
      <c r="J13" s="1" t="s">
        <v>343</v>
      </c>
      <c r="M13" s="5" t="s">
        <v>303</v>
      </c>
      <c r="P13" s="1" t="s">
        <v>344</v>
      </c>
      <c r="X13" s="1" t="s">
        <v>345</v>
      </c>
    </row>
    <row r="14" spans="1:24">
      <c r="B14" s="1" t="s">
        <v>346</v>
      </c>
      <c r="C14" s="5" t="s">
        <v>303</v>
      </c>
      <c r="E14" s="5" t="s">
        <v>303</v>
      </c>
      <c r="G14" s="5" t="s">
        <v>303</v>
      </c>
      <c r="J14" s="38" t="s">
        <v>347</v>
      </c>
      <c r="O14" s="5" t="s">
        <v>303</v>
      </c>
    </row>
    <row r="15" spans="1:24">
      <c r="B15" s="1" t="s">
        <v>348</v>
      </c>
      <c r="C15" s="5" t="s">
        <v>303</v>
      </c>
      <c r="E15" s="5" t="s">
        <v>303</v>
      </c>
      <c r="G15" s="5" t="s">
        <v>303</v>
      </c>
      <c r="J15" s="38" t="s">
        <v>349</v>
      </c>
      <c r="O15" s="5" t="s">
        <v>303</v>
      </c>
    </row>
    <row r="16" spans="1:24">
      <c r="B16" s="1" t="s">
        <v>350</v>
      </c>
      <c r="C16" s="5" t="s">
        <v>303</v>
      </c>
      <c r="E16" s="5" t="s">
        <v>303</v>
      </c>
      <c r="J16" s="38" t="s">
        <v>351</v>
      </c>
      <c r="O16" s="5" t="s">
        <v>303</v>
      </c>
    </row>
    <row r="17" spans="1:15">
      <c r="B17" s="1" t="s">
        <v>352</v>
      </c>
      <c r="C17" s="5" t="s">
        <v>303</v>
      </c>
      <c r="E17" s="5" t="s">
        <v>303</v>
      </c>
      <c r="J17" s="38" t="s">
        <v>353</v>
      </c>
      <c r="O17" s="5" t="s">
        <v>303</v>
      </c>
    </row>
    <row r="18" spans="1:15">
      <c r="B18" s="1" t="s">
        <v>354</v>
      </c>
      <c r="J18" s="1" t="s">
        <v>355</v>
      </c>
      <c r="O18" s="5" t="s">
        <v>303</v>
      </c>
    </row>
    <row r="19" spans="1:15">
      <c r="B19" s="1" t="s">
        <v>356</v>
      </c>
      <c r="J19" s="1" t="s">
        <v>357</v>
      </c>
    </row>
    <row r="20" spans="1:15">
      <c r="B20" s="1" t="s">
        <v>358</v>
      </c>
      <c r="J20" s="1" t="s">
        <v>359</v>
      </c>
    </row>
    <row r="21" spans="1:15">
      <c r="B21" s="1" t="s">
        <v>360</v>
      </c>
      <c r="J21" s="1" t="s">
        <v>361</v>
      </c>
    </row>
    <row r="22" spans="1:15">
      <c r="A22" s="5" t="s">
        <v>303</v>
      </c>
      <c r="B22" s="38" t="s">
        <v>300</v>
      </c>
      <c r="J22" s="1" t="s">
        <v>362</v>
      </c>
    </row>
    <row r="23" spans="1:15">
      <c r="A23" s="5" t="s">
        <v>303</v>
      </c>
      <c r="B23" s="1" t="s">
        <v>171</v>
      </c>
      <c r="J23" s="1" t="s">
        <v>363</v>
      </c>
    </row>
    <row r="24" spans="1:15">
      <c r="A24" s="5" t="s">
        <v>303</v>
      </c>
      <c r="J24" s="1" t="s">
        <v>364</v>
      </c>
    </row>
    <row r="25" spans="1:15">
      <c r="A25" s="5" t="s">
        <v>303</v>
      </c>
      <c r="J25" s="1" t="s">
        <v>365</v>
      </c>
    </row>
    <row r="26" spans="1:15">
      <c r="A26" s="5" t="s">
        <v>303</v>
      </c>
      <c r="J26" s="1" t="s">
        <v>366</v>
      </c>
    </row>
    <row r="27" spans="1:15">
      <c r="J27" s="1" t="s">
        <v>367</v>
      </c>
    </row>
    <row r="28" spans="1:15">
      <c r="J28" s="1" t="s">
        <v>368</v>
      </c>
    </row>
    <row r="29" spans="1:15">
      <c r="J29" s="1" t="s">
        <v>369</v>
      </c>
    </row>
    <row r="30" spans="1:15">
      <c r="J30" s="1" t="s">
        <v>370</v>
      </c>
    </row>
    <row r="31" spans="1:15">
      <c r="J31" s="1" t="s">
        <v>215</v>
      </c>
    </row>
    <row r="32" spans="1:15">
      <c r="J32" s="1" t="s">
        <v>371</v>
      </c>
    </row>
    <row r="33" spans="10:11">
      <c r="J33" s="1" t="s">
        <v>372</v>
      </c>
    </row>
    <row r="34" spans="10:11">
      <c r="J34" s="1" t="s">
        <v>373</v>
      </c>
    </row>
    <row r="35" spans="10:11">
      <c r="J35" s="1" t="s">
        <v>374</v>
      </c>
    </row>
    <row r="36" spans="10:11">
      <c r="J36" s="1" t="s">
        <v>218</v>
      </c>
    </row>
    <row r="37" spans="10:11">
      <c r="J37" s="1" t="s">
        <v>375</v>
      </c>
    </row>
    <row r="38" spans="10:11">
      <c r="J38" s="1" t="s">
        <v>322</v>
      </c>
    </row>
    <row r="39" spans="10:11">
      <c r="J39" s="1" t="s">
        <v>376</v>
      </c>
    </row>
    <row r="40" spans="10:11">
      <c r="J40" s="1" t="s">
        <v>377</v>
      </c>
    </row>
    <row r="41" spans="10:11">
      <c r="J41" s="1" t="s">
        <v>378</v>
      </c>
    </row>
    <row r="42" spans="10:11">
      <c r="J42" s="1" t="s">
        <v>217</v>
      </c>
    </row>
    <row r="43" spans="10:11">
      <c r="J43" s="1" t="s">
        <v>379</v>
      </c>
    </row>
    <row r="44" spans="10:11">
      <c r="J44" s="1" t="s">
        <v>380</v>
      </c>
    </row>
    <row r="45" spans="10:11">
      <c r="J45" s="1" t="s">
        <v>381</v>
      </c>
      <c r="K45" s="35"/>
    </row>
    <row r="46" spans="10:11">
      <c r="J46" s="1" t="s">
        <v>382</v>
      </c>
      <c r="K46" s="35"/>
    </row>
    <row r="47" spans="10:11">
      <c r="J47" s="38" t="s">
        <v>383</v>
      </c>
      <c r="K47" s="35"/>
    </row>
    <row r="48" spans="10:11">
      <c r="J48" s="38" t="s">
        <v>384</v>
      </c>
      <c r="K48" s="35"/>
    </row>
    <row r="49" spans="9:10">
      <c r="J49" s="38" t="s">
        <v>385</v>
      </c>
    </row>
    <row r="50" spans="9:10">
      <c r="J50" s="38" t="s">
        <v>386</v>
      </c>
    </row>
    <row r="51" spans="9:10">
      <c r="J51" s="1" t="s">
        <v>387</v>
      </c>
    </row>
    <row r="52" spans="9:10">
      <c r="J52" s="1" t="s">
        <v>388</v>
      </c>
    </row>
    <row r="53" spans="9:10">
      <c r="J53" s="1" t="s">
        <v>389</v>
      </c>
    </row>
    <row r="54" spans="9:10">
      <c r="J54" s="1" t="s">
        <v>390</v>
      </c>
    </row>
    <row r="55" spans="9:10">
      <c r="I55" s="5" t="s">
        <v>303</v>
      </c>
      <c r="J55" s="35" t="s">
        <v>391</v>
      </c>
    </row>
    <row r="56" spans="9:10">
      <c r="I56" s="5" t="s">
        <v>303</v>
      </c>
      <c r="J56" s="35" t="s">
        <v>392</v>
      </c>
    </row>
    <row r="57" spans="9:10">
      <c r="I57" s="5" t="s">
        <v>303</v>
      </c>
      <c r="J57" s="35" t="s">
        <v>393</v>
      </c>
    </row>
    <row r="58" spans="9:10">
      <c r="I58" s="5" t="s">
        <v>303</v>
      </c>
      <c r="J58" s="35" t="s">
        <v>394</v>
      </c>
    </row>
    <row r="59" spans="9:10">
      <c r="I59" s="5" t="s">
        <v>303</v>
      </c>
      <c r="J59" s="35" t="s">
        <v>395</v>
      </c>
    </row>
    <row r="60" spans="9:10">
      <c r="I60" s="5" t="s">
        <v>303</v>
      </c>
      <c r="J60" s="35" t="s">
        <v>396</v>
      </c>
    </row>
    <row r="61" spans="9:10">
      <c r="I61" s="5" t="s">
        <v>303</v>
      </c>
      <c r="J61" s="35" t="s">
        <v>397</v>
      </c>
    </row>
    <row r="62" spans="9:10">
      <c r="I62" s="5" t="s">
        <v>303</v>
      </c>
      <c r="J62" s="35" t="s">
        <v>398</v>
      </c>
    </row>
    <row r="63" spans="9:10">
      <c r="I63" s="5" t="s">
        <v>303</v>
      </c>
      <c r="J63" s="35" t="s">
        <v>399</v>
      </c>
    </row>
    <row r="64" spans="9:10">
      <c r="I64" s="5" t="s">
        <v>303</v>
      </c>
      <c r="J64" s="35" t="s">
        <v>400</v>
      </c>
    </row>
    <row r="65" spans="9:10">
      <c r="I65" s="5" t="s">
        <v>303</v>
      </c>
      <c r="J65" s="35" t="s">
        <v>401</v>
      </c>
    </row>
    <row r="66" spans="9:10">
      <c r="I66" s="5" t="s">
        <v>303</v>
      </c>
      <c r="J66" s="35" t="s">
        <v>402</v>
      </c>
    </row>
    <row r="67" spans="9:10">
      <c r="I67" s="5" t="s">
        <v>303</v>
      </c>
      <c r="J67" s="35" t="s">
        <v>403</v>
      </c>
    </row>
    <row r="68" spans="9:10">
      <c r="I68" s="5" t="s">
        <v>303</v>
      </c>
      <c r="J68" s="35" t="s">
        <v>404</v>
      </c>
    </row>
    <row r="69" spans="9:10">
      <c r="J69" s="35"/>
    </row>
    <row r="70" spans="9:10">
      <c r="J70" s="35"/>
    </row>
    <row r="71" spans="9:10">
      <c r="J71" s="35"/>
    </row>
    <row r="72" spans="9:10">
      <c r="J72" s="35"/>
    </row>
    <row r="73" spans="9:10">
      <c r="J73" s="35"/>
    </row>
    <row r="74" spans="9:10">
      <c r="J74" s="35"/>
    </row>
    <row r="84" spans="10:10">
      <c r="J84" s="35"/>
    </row>
  </sheetData>
  <sortState xmlns:xlrd2="http://schemas.microsoft.com/office/spreadsheetml/2017/richdata2" ref="J55:J68">
    <sortCondition ref="J55"/>
  </sortState>
  <conditionalFormatting sqref="J94:J1048576 J1:J3 J69:J92">
    <cfRule type="duplicateValues" dxfId="18" priority="19"/>
  </conditionalFormatting>
  <conditionalFormatting sqref="J10">
    <cfRule type="duplicateValues" dxfId="17" priority="17"/>
  </conditionalFormatting>
  <conditionalFormatting sqref="J4:J54 J69:J74">
    <cfRule type="duplicateValues" dxfId="16" priority="166"/>
  </conditionalFormatting>
  <conditionalFormatting sqref="J55">
    <cfRule type="duplicateValues" dxfId="15" priority="15"/>
  </conditionalFormatting>
  <conditionalFormatting sqref="J55">
    <cfRule type="duplicateValues" dxfId="14" priority="16"/>
  </conditionalFormatting>
  <conditionalFormatting sqref="J56">
    <cfRule type="duplicateValues" dxfId="13" priority="13"/>
  </conditionalFormatting>
  <conditionalFormatting sqref="J56">
    <cfRule type="duplicateValues" dxfId="12" priority="14"/>
  </conditionalFormatting>
  <conditionalFormatting sqref="J57">
    <cfRule type="duplicateValues" dxfId="11" priority="11"/>
  </conditionalFormatting>
  <conditionalFormatting sqref="J57">
    <cfRule type="duplicateValues" dxfId="10" priority="12"/>
  </conditionalFormatting>
  <conditionalFormatting sqref="J62:J63">
    <cfRule type="duplicateValues" dxfId="9" priority="9"/>
  </conditionalFormatting>
  <conditionalFormatting sqref="J62:J63">
    <cfRule type="duplicateValues" dxfId="8" priority="10"/>
  </conditionalFormatting>
  <conditionalFormatting sqref="J64">
    <cfRule type="duplicateValues" dxfId="7" priority="7"/>
  </conditionalFormatting>
  <conditionalFormatting sqref="J64">
    <cfRule type="duplicateValues" dxfId="6" priority="8"/>
  </conditionalFormatting>
  <conditionalFormatting sqref="J65:J66">
    <cfRule type="duplicateValues" dxfId="5" priority="5"/>
  </conditionalFormatting>
  <conditionalFormatting sqref="J65:J66">
    <cfRule type="duplicateValues" dxfId="4" priority="6"/>
  </conditionalFormatting>
  <conditionalFormatting sqref="J67">
    <cfRule type="duplicateValues" dxfId="3" priority="3"/>
  </conditionalFormatting>
  <conditionalFormatting sqref="J67">
    <cfRule type="duplicateValues" dxfId="2" priority="4"/>
  </conditionalFormatting>
  <conditionalFormatting sqref="J68">
    <cfRule type="duplicateValues" dxfId="1" priority="1"/>
  </conditionalFormatting>
  <conditionalFormatting sqref="J68">
    <cfRule type="duplicateValues" dxfId="0" priority="2"/>
  </conditionalFormatting>
  <pageMargins left="0.7" right="0.7" top="0.75" bottom="0.75" header="0.3" footer="0.3"/>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D1:Q60"/>
  <sheetViews>
    <sheetView topLeftCell="A55" workbookViewId="0">
      <selection activeCell="E69" sqref="E69:E71"/>
    </sheetView>
  </sheetViews>
  <sheetFormatPr defaultRowHeight="15.75"/>
  <cols>
    <col min="3" max="3" width="19.875" bestFit="1" customWidth="1"/>
    <col min="4" max="4" width="36.25" bestFit="1" customWidth="1"/>
    <col min="5" max="5" width="16.375" customWidth="1"/>
    <col min="6" max="6" width="19.875" bestFit="1" customWidth="1"/>
    <col min="7" max="7" width="19.875" customWidth="1"/>
    <col min="8" max="8" width="13.375" customWidth="1"/>
  </cols>
  <sheetData>
    <row r="1" spans="4:13">
      <c r="D1" t="s">
        <v>405</v>
      </c>
    </row>
    <row r="2" spans="4:13">
      <c r="G2" t="s">
        <v>406</v>
      </c>
      <c r="J2" t="s">
        <v>407</v>
      </c>
    </row>
    <row r="3" spans="4:13" ht="47.25">
      <c r="E3" t="s">
        <v>408</v>
      </c>
      <c r="F3" s="139" t="s">
        <v>409</v>
      </c>
      <c r="G3" s="139" t="s">
        <v>410</v>
      </c>
      <c r="H3" s="139" t="s">
        <v>411</v>
      </c>
      <c r="I3" t="s">
        <v>412</v>
      </c>
      <c r="J3" t="s">
        <v>413</v>
      </c>
      <c r="K3" t="s">
        <v>414</v>
      </c>
    </row>
    <row r="4" spans="4:13">
      <c r="D4" t="s">
        <v>415</v>
      </c>
      <c r="E4" s="143">
        <v>2.9</v>
      </c>
      <c r="F4" s="127" t="s">
        <v>416</v>
      </c>
      <c r="G4" s="142">
        <f>E4/75%</f>
        <v>3.8666666666666667</v>
      </c>
      <c r="H4" s="125">
        <f>I4/8760</f>
        <v>0.51369863013698636</v>
      </c>
      <c r="I4">
        <f>4500</f>
        <v>4500</v>
      </c>
      <c r="J4" s="126">
        <f>G4*1000000/3.6</f>
        <v>1074074.0740740739</v>
      </c>
      <c r="K4" s="126">
        <f>J4/I4</f>
        <v>238.68312757201642</v>
      </c>
      <c r="M4" t="s">
        <v>417</v>
      </c>
    </row>
    <row r="5" spans="4:13">
      <c r="D5" t="s">
        <v>418</v>
      </c>
      <c r="E5" s="143">
        <v>3.4</v>
      </c>
      <c r="F5" t="s">
        <v>419</v>
      </c>
      <c r="G5" s="142">
        <f>E5/75%</f>
        <v>4.5333333333333332</v>
      </c>
      <c r="H5" s="125">
        <f t="shared" ref="H5:H20" si="0">I5/8760</f>
        <v>0.51369863013698636</v>
      </c>
      <c r="I5">
        <f>4500</f>
        <v>4500</v>
      </c>
      <c r="J5" s="126">
        <f t="shared" ref="J5:J20" si="1">G5*1000000/3.6</f>
        <v>1259259.2592592591</v>
      </c>
      <c r="K5" s="126">
        <f t="shared" ref="K5:K19" si="2">J5/I5</f>
        <v>279.835390946502</v>
      </c>
    </row>
    <row r="6" spans="4:13">
      <c r="D6" t="s">
        <v>420</v>
      </c>
      <c r="E6" s="143">
        <v>2.1</v>
      </c>
      <c r="F6" t="s">
        <v>421</v>
      </c>
      <c r="G6" s="142">
        <f t="shared" ref="G6:G20" si="3">E6/75%</f>
        <v>2.8000000000000003</v>
      </c>
      <c r="H6" s="125">
        <f t="shared" si="0"/>
        <v>0.51369863013698636</v>
      </c>
      <c r="I6">
        <f>4500</f>
        <v>4500</v>
      </c>
      <c r="J6" s="126">
        <f t="shared" si="1"/>
        <v>777777.77777777787</v>
      </c>
      <c r="K6" s="126">
        <f t="shared" si="2"/>
        <v>172.83950617283952</v>
      </c>
    </row>
    <row r="7" spans="4:13">
      <c r="D7" t="s">
        <v>422</v>
      </c>
      <c r="E7" s="143">
        <v>1.1000000000000001</v>
      </c>
      <c r="F7" s="127" t="s">
        <v>416</v>
      </c>
      <c r="G7" s="142">
        <f t="shared" si="3"/>
        <v>1.4666666666666668</v>
      </c>
      <c r="H7" s="125">
        <f t="shared" si="0"/>
        <v>0.51369863013698636</v>
      </c>
      <c r="I7">
        <f>4500</f>
        <v>4500</v>
      </c>
      <c r="J7" s="126">
        <f t="shared" si="1"/>
        <v>407407.40740740742</v>
      </c>
      <c r="K7" s="126">
        <f t="shared" si="2"/>
        <v>90.534979423868322</v>
      </c>
    </row>
    <row r="8" spans="4:13">
      <c r="D8" t="s">
        <v>423</v>
      </c>
      <c r="E8" s="143">
        <v>0.3</v>
      </c>
      <c r="F8" s="127" t="s">
        <v>416</v>
      </c>
      <c r="G8" s="142">
        <f t="shared" si="3"/>
        <v>0.39999999999999997</v>
      </c>
      <c r="H8" s="125">
        <f t="shared" si="0"/>
        <v>0.51369863013698636</v>
      </c>
      <c r="I8">
        <f>4500</f>
        <v>4500</v>
      </c>
      <c r="J8" s="126">
        <f t="shared" si="1"/>
        <v>111111.11111111109</v>
      </c>
      <c r="K8" s="126">
        <f t="shared" si="2"/>
        <v>24.691358024691354</v>
      </c>
    </row>
    <row r="9" spans="4:13">
      <c r="D9" t="s">
        <v>424</v>
      </c>
      <c r="E9" s="143">
        <v>1.3</v>
      </c>
      <c r="F9" s="127" t="s">
        <v>416</v>
      </c>
      <c r="G9" s="142">
        <f t="shared" si="3"/>
        <v>1.7333333333333334</v>
      </c>
      <c r="H9" s="125">
        <f t="shared" si="0"/>
        <v>0.51369863013698636</v>
      </c>
      <c r="I9">
        <f>4500</f>
        <v>4500</v>
      </c>
      <c r="J9" s="126">
        <f t="shared" si="1"/>
        <v>481481.48148148152</v>
      </c>
      <c r="K9" s="126">
        <f t="shared" si="2"/>
        <v>106.99588477366255</v>
      </c>
    </row>
    <row r="10" spans="4:13">
      <c r="D10" t="s">
        <v>425</v>
      </c>
      <c r="E10" s="143">
        <v>0.6</v>
      </c>
      <c r="F10" t="s">
        <v>419</v>
      </c>
      <c r="G10" s="142">
        <f t="shared" si="3"/>
        <v>0.79999999999999993</v>
      </c>
      <c r="H10" s="125">
        <f t="shared" si="0"/>
        <v>0.51369863013698636</v>
      </c>
      <c r="I10">
        <f>4500</f>
        <v>4500</v>
      </c>
      <c r="J10" s="126">
        <f t="shared" si="1"/>
        <v>222222.22222222219</v>
      </c>
      <c r="K10" s="126">
        <f t="shared" si="2"/>
        <v>49.382716049382708</v>
      </c>
    </row>
    <row r="11" spans="4:13">
      <c r="D11" t="s">
        <v>426</v>
      </c>
      <c r="E11" s="143">
        <v>1.7</v>
      </c>
      <c r="F11" s="127" t="s">
        <v>416</v>
      </c>
      <c r="G11" s="142">
        <f t="shared" si="3"/>
        <v>2.2666666666666666</v>
      </c>
      <c r="H11" s="125">
        <f t="shared" si="0"/>
        <v>0.51369863013698636</v>
      </c>
      <c r="I11">
        <f>4500</f>
        <v>4500</v>
      </c>
      <c r="J11" s="126">
        <f t="shared" si="1"/>
        <v>629629.62962962955</v>
      </c>
      <c r="K11" s="126">
        <f t="shared" si="2"/>
        <v>139.917695473251</v>
      </c>
    </row>
    <row r="12" spans="4:13">
      <c r="D12" t="s">
        <v>427</v>
      </c>
      <c r="E12" s="143">
        <v>0.2</v>
      </c>
      <c r="F12" t="s">
        <v>419</v>
      </c>
      <c r="G12" s="142">
        <f t="shared" si="3"/>
        <v>0.26666666666666666</v>
      </c>
      <c r="H12" s="125">
        <f t="shared" si="0"/>
        <v>0.51369863013698636</v>
      </c>
      <c r="I12">
        <f>4500</f>
        <v>4500</v>
      </c>
      <c r="J12" s="126">
        <f t="shared" si="1"/>
        <v>74074.074074074073</v>
      </c>
      <c r="K12" s="126">
        <f t="shared" si="2"/>
        <v>16.460905349794238</v>
      </c>
    </row>
    <row r="13" spans="4:13">
      <c r="D13" t="s">
        <v>428</v>
      </c>
      <c r="E13" s="143">
        <v>0.7</v>
      </c>
      <c r="F13" s="127" t="s">
        <v>416</v>
      </c>
      <c r="G13" s="142">
        <f t="shared" si="3"/>
        <v>0.93333333333333324</v>
      </c>
      <c r="H13" s="125">
        <f t="shared" si="0"/>
        <v>0.51369863013698636</v>
      </c>
      <c r="I13">
        <f>4500</f>
        <v>4500</v>
      </c>
      <c r="J13" s="126">
        <f t="shared" si="1"/>
        <v>259259.25925925924</v>
      </c>
      <c r="K13" s="126">
        <f t="shared" si="2"/>
        <v>57.613168724279831</v>
      </c>
    </row>
    <row r="14" spans="4:13">
      <c r="D14" t="s">
        <v>429</v>
      </c>
      <c r="E14" s="143">
        <v>0.6</v>
      </c>
      <c r="F14" t="s">
        <v>419</v>
      </c>
      <c r="G14" s="142">
        <f t="shared" si="3"/>
        <v>0.79999999999999993</v>
      </c>
      <c r="H14" s="125">
        <f t="shared" si="0"/>
        <v>0.51369863013698636</v>
      </c>
      <c r="I14">
        <f>4500</f>
        <v>4500</v>
      </c>
      <c r="J14" s="126">
        <f t="shared" si="1"/>
        <v>222222.22222222219</v>
      </c>
      <c r="K14" s="126">
        <f t="shared" si="2"/>
        <v>49.382716049382708</v>
      </c>
    </row>
    <row r="15" spans="4:13">
      <c r="D15" t="s">
        <v>430</v>
      </c>
      <c r="E15" s="143">
        <v>2.7</v>
      </c>
      <c r="F15" t="s">
        <v>419</v>
      </c>
      <c r="G15" s="142">
        <f t="shared" si="3"/>
        <v>3.6</v>
      </c>
      <c r="H15" s="125">
        <f t="shared" si="0"/>
        <v>0.51369863013698636</v>
      </c>
      <c r="I15">
        <f>4500</f>
        <v>4500</v>
      </c>
      <c r="J15" s="126">
        <f t="shared" si="1"/>
        <v>1000000</v>
      </c>
      <c r="K15" s="126">
        <f t="shared" si="2"/>
        <v>222.22222222222223</v>
      </c>
    </row>
    <row r="16" spans="4:13">
      <c r="D16" t="s">
        <v>431</v>
      </c>
      <c r="E16" s="143">
        <v>0.5</v>
      </c>
      <c r="F16" t="s">
        <v>419</v>
      </c>
      <c r="G16" s="142">
        <f t="shared" si="3"/>
        <v>0.66666666666666663</v>
      </c>
      <c r="H16" s="125">
        <f t="shared" si="0"/>
        <v>0.51369863013698636</v>
      </c>
      <c r="I16">
        <f>4500</f>
        <v>4500</v>
      </c>
      <c r="J16" s="126">
        <f t="shared" si="1"/>
        <v>185185.18518518517</v>
      </c>
      <c r="K16" s="126">
        <f t="shared" si="2"/>
        <v>41.152263374485592</v>
      </c>
    </row>
    <row r="17" spans="4:11">
      <c r="D17" t="s">
        <v>432</v>
      </c>
      <c r="E17" s="143">
        <v>0.2</v>
      </c>
      <c r="F17" s="127" t="s">
        <v>416</v>
      </c>
      <c r="G17" s="142">
        <f t="shared" si="3"/>
        <v>0.26666666666666666</v>
      </c>
      <c r="H17" s="125">
        <f t="shared" si="0"/>
        <v>0.51369863013698636</v>
      </c>
      <c r="I17">
        <f>4500</f>
        <v>4500</v>
      </c>
      <c r="J17" s="126">
        <f t="shared" si="1"/>
        <v>74074.074074074073</v>
      </c>
      <c r="K17" s="126">
        <f t="shared" si="2"/>
        <v>16.460905349794238</v>
      </c>
    </row>
    <row r="18" spans="4:11">
      <c r="D18" t="s">
        <v>433</v>
      </c>
      <c r="E18" s="143">
        <v>0.2</v>
      </c>
      <c r="F18" s="127" t="s">
        <v>416</v>
      </c>
      <c r="G18" s="142">
        <f t="shared" si="3"/>
        <v>0.26666666666666666</v>
      </c>
      <c r="H18" s="125">
        <f t="shared" si="0"/>
        <v>0.51369863013698636</v>
      </c>
      <c r="I18">
        <f>4500</f>
        <v>4500</v>
      </c>
      <c r="J18" s="126">
        <f t="shared" si="1"/>
        <v>74074.074074074073</v>
      </c>
      <c r="K18" s="126">
        <f t="shared" si="2"/>
        <v>16.460905349794238</v>
      </c>
    </row>
    <row r="19" spans="4:11">
      <c r="D19" t="s">
        <v>434</v>
      </c>
      <c r="E19" s="143">
        <v>0.2</v>
      </c>
      <c r="F19" t="s">
        <v>419</v>
      </c>
      <c r="G19" s="142">
        <f t="shared" si="3"/>
        <v>0.26666666666666666</v>
      </c>
      <c r="H19" s="125">
        <f t="shared" si="0"/>
        <v>0.51369863013698636</v>
      </c>
      <c r="I19">
        <f>4500</f>
        <v>4500</v>
      </c>
      <c r="J19" s="126">
        <f t="shared" si="1"/>
        <v>74074.074074074073</v>
      </c>
      <c r="K19" s="126">
        <f t="shared" si="2"/>
        <v>16.460905349794238</v>
      </c>
    </row>
    <row r="20" spans="4:11">
      <c r="D20" t="s">
        <v>435</v>
      </c>
      <c r="E20" s="143">
        <v>0.8</v>
      </c>
      <c r="F20" t="s">
        <v>419</v>
      </c>
      <c r="G20" s="142">
        <f t="shared" si="3"/>
        <v>1.0666666666666667</v>
      </c>
      <c r="H20" s="125">
        <f t="shared" si="0"/>
        <v>0.51369863013698636</v>
      </c>
      <c r="I20">
        <f>4500</f>
        <v>4500</v>
      </c>
      <c r="J20" s="126">
        <f t="shared" si="1"/>
        <v>296296.29629629629</v>
      </c>
      <c r="K20" s="126">
        <f>J20/I20</f>
        <v>65.843621399176953</v>
      </c>
    </row>
    <row r="21" spans="4:11">
      <c r="E21" s="143"/>
    </row>
    <row r="22" spans="4:11">
      <c r="D22" t="s">
        <v>436</v>
      </c>
      <c r="E22" s="143">
        <f>AVERAGE(E4,E7,E8,E9,E11,E13,E17,E18)</f>
        <v>1.0499999999999998</v>
      </c>
      <c r="G22" s="123">
        <f>AVERAGE(G4,G7,G8,G9,G11,G13,G17,G18)</f>
        <v>1.4000000000000004</v>
      </c>
      <c r="H22" s="125">
        <f>AVERAGE(H4,H7,H8,H9,H11,H13,H17,H18)</f>
        <v>0.51369863013698636</v>
      </c>
      <c r="I22" s="126">
        <f>AVERAGE(I4,I7,I8,I9,I11,I13,I17,I18)</f>
        <v>4500</v>
      </c>
      <c r="J22" s="126">
        <f>AVERAGE(J4,J7,J8,J9,J11,J13,J17,J18)</f>
        <v>388888.88888888888</v>
      </c>
      <c r="K22" s="126">
        <f>AVERAGE(K4,K7,K8,K9,K11,K13,K17,K18)</f>
        <v>86.419753086419732</v>
      </c>
    </row>
    <row r="26" spans="4:11">
      <c r="D26" t="s">
        <v>437</v>
      </c>
    </row>
    <row r="58" spans="5:17">
      <c r="F58" t="s">
        <v>438</v>
      </c>
    </row>
    <row r="59" spans="5:17">
      <c r="E59" s="144"/>
      <c r="Q59" s="149"/>
    </row>
    <row r="60" spans="5:17">
      <c r="F60" t="s">
        <v>439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AE20B-EC34-4F83-A748-718DFBD66647}">
  <dimension ref="D21:H31"/>
  <sheetViews>
    <sheetView workbookViewId="0">
      <selection activeCell="E69" sqref="E69:E71"/>
    </sheetView>
  </sheetViews>
  <sheetFormatPr defaultRowHeight="15.75"/>
  <sheetData>
    <row r="21" spans="4:8">
      <c r="D21" t="s">
        <v>173</v>
      </c>
    </row>
    <row r="31" spans="4:8">
      <c r="H31" s="1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NOC_ClusterId xmlns="2f6a910d-138e-42c1-8e8a-320c1b7cf3f7">060.33948</TNOC_ClusterId>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lca20d149a844688b6abf34073d5c21d xmlns="611ea500-83e9-4ef4-bf2f-c0233a31331f">
      <Terms xmlns="http://schemas.microsoft.com/office/infopath/2007/PartnerControls"/>
    </lca20d149a844688b6abf34073d5c21d>
    <_dlc_DocId xmlns="611ea500-83e9-4ef4-bf2f-c0233a31331f">K5WJPCK5SUVE-119146697-12140</_dlc_DocId>
    <bac4ab11065f4f6c809c820c57e320e5 xmlns="611ea500-83e9-4ef4-bf2f-c0233a31331f">
      <Terms xmlns="http://schemas.microsoft.com/office/infopath/2007/PartnerControls"/>
    </bac4ab11065f4f6c809c820c57e320e5>
    <cf581d8792c646118aad2c2c4ecdfa8c xmlns="611ea500-83e9-4ef4-bf2f-c0233a31331f">
      <Terms xmlns="http://schemas.microsoft.com/office/infopath/2007/PartnerControls"/>
    </cf581d8792c646118aad2c2c4ecdfa8c>
    <TaxCatchAll xmlns="611ea500-83e9-4ef4-bf2f-c0233a31331f">
      <Value>5</Value>
      <Value>1</Value>
    </TaxCatchAll>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5.5311 - Factsheets technologie-n</TNOC_ClusterName>
    <_dlc_DocIdUrl xmlns="611ea500-83e9-4ef4-bf2f-c0233a31331f">
      <Url>https://365tno.sharepoint.com/teams/P060.33948/_layouts/15/DocIdRedir.aspx?ID=K5WJPCK5SUVE-119146697-12140</Url>
      <Description>K5WJPCK5SUVE-119146697-12140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BB3DC0-5180-44DF-9D5A-14B566047FD4}"/>
</file>

<file path=customXml/itemProps2.xml><?xml version="1.0" encoding="utf-8"?>
<ds:datastoreItem xmlns:ds="http://schemas.openxmlformats.org/officeDocument/2006/customXml" ds:itemID="{258A2F10-5CD3-4BD4-917F-4B9E0C42172E}"/>
</file>

<file path=customXml/itemProps3.xml><?xml version="1.0" encoding="utf-8"?>
<ds:datastoreItem xmlns:ds="http://schemas.openxmlformats.org/officeDocument/2006/customXml" ds:itemID="{804BDB0B-FC84-4F12-AE61-B0D727FBA72E}"/>
</file>

<file path=customXml/itemProps4.xml><?xml version="1.0" encoding="utf-8"?>
<ds:datastoreItem xmlns:ds="http://schemas.openxmlformats.org/officeDocument/2006/customXml" ds:itemID="{359DFFB8-9F5A-46E6-A56A-DF797219613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Frankfort, L. (Linda)</cp:lastModifiedBy>
  <cp:revision/>
  <dcterms:created xsi:type="dcterms:W3CDTF">2018-07-06T12:34:34Z</dcterms:created>
  <dcterms:modified xsi:type="dcterms:W3CDTF">2023-12-21T12:36:07Z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NOC_DocumentClassification">
    <vt:lpwstr>5;#TNO Internal|1a23c89f-ef54-4907-86fd-8242403ff722</vt:lpwstr>
  </property>
  <property fmtid="{D5CDD505-2E9C-101B-9397-08002B2CF9AE}" pid="3" name="ContentTypeId">
    <vt:lpwstr>0x010100A35317DCC28344A7B82488658A034A5C0100930A1513B42B0E4BA633819D1BDE4F35</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_dlc_DocIdItemGuid">
    <vt:lpwstr>b854ba86-c7e7-45f3-bc3f-ae06eda6f5d3</vt:lpwstr>
  </property>
  <property fmtid="{D5CDD505-2E9C-101B-9397-08002B2CF9AE}" pid="8" name="TNOC_DocumentSetType">
    <vt:lpwstr/>
  </property>
  <property fmtid="{D5CDD505-2E9C-101B-9397-08002B2CF9AE}" pid="9" name="AuthorIds_UIVersion_88">
    <vt:lpwstr>32</vt:lpwstr>
  </property>
  <property fmtid="{D5CDD505-2E9C-101B-9397-08002B2CF9AE}" pid="10" name="AuthorIds_UIVersion_89">
    <vt:lpwstr>32</vt:lpwstr>
  </property>
  <property fmtid="{D5CDD505-2E9C-101B-9397-08002B2CF9AE}" pid="11" name="AuthorIds_UIVersion_90">
    <vt:lpwstr>32</vt:lpwstr>
  </property>
</Properties>
</file>