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7"/>
  <workbookPr/>
  <mc:AlternateContent xmlns:mc="http://schemas.openxmlformats.org/markup-compatibility/2006">
    <mc:Choice Requires="x15">
      <x15ac:absPath xmlns:x15ac="http://schemas.microsoft.com/office/spreadsheetml/2010/11/ac" url="https://365tno.sharepoint.com/teams/P060.33948/TeamDocuments/Team/Final Factsheets 2018-2021/ESDL ready/"/>
    </mc:Choice>
  </mc:AlternateContent>
  <xr:revisionPtr revIDLastSave="350" documentId="8_{1886B47E-E6AD-4CD9-9B49-A22FCA2E8CA0}" xr6:coauthVersionLast="47" xr6:coauthVersionMax="47" xr10:uidLastSave="{AC7577AB-3C8A-44CE-AC82-7D6A6FF09873}"/>
  <workbookProtection workbookAlgorithmName="SHA-512" workbookHashValue="A57DCiveTYeb79qsgXzzmsNtEUSMybLt6X9EdziqHaTNCC9f5YEufDUvGIn++goRph80kXHA53GkV+45c28aYw==" workbookSaltValue="PocQ1Reds81SkM894XRCKw==" workbookSpinCount="100000" lockStructure="1"/>
  <bookViews>
    <workbookView xWindow="-108" yWindow="-108" windowWidth="23256" windowHeight="12576" tabRatio="500" firstSheet="4" activeTab="4" xr2:uid="{00000000-000D-0000-FFFF-FFFF00000000}"/>
  </bookViews>
  <sheets>
    <sheet name="READ ME" sheetId="3" state="hidden" r:id="rId1"/>
    <sheet name="Data input (old)" sheetId="8" state="hidden" r:id="rId2"/>
    <sheet name="ESDL change log" sheetId="9" state="hidden" r:id="rId3"/>
    <sheet name="Data input" sheetId="2" state="hidden" r:id="rId4"/>
    <sheet name="Factsheet" sheetId="1" r:id="rId5"/>
    <sheet name="List" sheetId="4" state="hidden" r:id="rId6"/>
    <sheet name="Calculations" sheetId="5" state="hidden" r:id="rId7"/>
    <sheet name="Solid and liq biomass potential" sheetId="6" state="hidden" r:id="rId8"/>
    <sheet name="ETRI data" sheetId="7" state="hidden" r:id="rId9"/>
  </sheets>
  <externalReferences>
    <externalReference r:id="rId10"/>
  </externalReferences>
  <definedNames>
    <definedName name="_ftn1" localSheetId="0">'READ ME'!$C$107</definedName>
    <definedName name="_ftnref1" localSheetId="0">'READ ME'!$C$96</definedName>
    <definedName name="_xlnm.Print_Area" localSheetId="4">Factsheet!$B$1:$O$66</definedName>
    <definedName name="_xlnm.Print_Area" localSheetId="0">'READ ME'!$A$1:$D$110</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6" i="1" l="1"/>
  <c r="B3" i="1"/>
  <c r="G38" i="1"/>
  <c r="BA91" i="8"/>
  <c r="BA90" i="8"/>
  <c r="BA89" i="8"/>
  <c r="BA88" i="8"/>
  <c r="BA87" i="8"/>
  <c r="BA84" i="8"/>
  <c r="BA83" i="8"/>
  <c r="BA82" i="8"/>
  <c r="BA75" i="8"/>
  <c r="BA63" i="8"/>
  <c r="BA55" i="8"/>
  <c r="BA43" i="8"/>
  <c r="Q42" i="8"/>
  <c r="Q41" i="8"/>
  <c r="G41" i="8"/>
  <c r="E41" i="8"/>
  <c r="G39" i="8"/>
  <c r="L39" i="8" s="1"/>
  <c r="Q39" i="8" s="1"/>
  <c r="E39" i="8"/>
  <c r="L38" i="8"/>
  <c r="Q38" i="8" s="1"/>
  <c r="G37" i="8"/>
  <c r="L37" i="8" s="1"/>
  <c r="Q37" i="8" s="1"/>
  <c r="E37" i="8"/>
  <c r="AZ33" i="8"/>
  <c r="D21" i="8"/>
  <c r="D18" i="8"/>
  <c r="AZ13" i="8"/>
  <c r="AZ11" i="8"/>
  <c r="D10" i="1"/>
  <c r="D40" i="1" l="1"/>
  <c r="J38" i="1" l="1"/>
  <c r="E41" i="2" l="1"/>
  <c r="L38" i="2"/>
  <c r="Q38" i="2" s="1"/>
  <c r="BA87" i="2" l="1"/>
  <c r="BA88" i="2"/>
  <c r="C12" i="5"/>
  <c r="D12" i="5" s="1"/>
  <c r="C13" i="5"/>
  <c r="D13" i="5" s="1"/>
  <c r="C11" i="5"/>
  <c r="D11" i="5" s="1"/>
  <c r="M48" i="6" l="1"/>
  <c r="L48" i="6"/>
  <c r="K48" i="6"/>
  <c r="M47" i="6"/>
  <c r="L47" i="6"/>
  <c r="K47" i="6"/>
  <c r="M46" i="6"/>
  <c r="L46" i="6"/>
  <c r="K46" i="6"/>
  <c r="M45" i="6"/>
  <c r="L45" i="6"/>
  <c r="K45" i="6"/>
  <c r="E29" i="6"/>
  <c r="G29" i="6"/>
  <c r="H29" i="6"/>
  <c r="I29" i="6"/>
  <c r="C29" i="6"/>
  <c r="Q42" i="2" l="1"/>
  <c r="Q41" i="2"/>
  <c r="N9" i="6"/>
  <c r="M9" i="6"/>
  <c r="N10" i="6"/>
  <c r="M10" i="6"/>
  <c r="D15" i="6"/>
  <c r="F15" i="6"/>
  <c r="A25" i="5" s="1"/>
  <c r="B25" i="5" s="1"/>
  <c r="C25" i="5" s="1"/>
  <c r="J15" i="6"/>
  <c r="A27" i="5" s="1"/>
  <c r="B27" i="5" s="1"/>
  <c r="C27" i="5" s="1"/>
  <c r="E14" i="6"/>
  <c r="A24" i="5" s="1"/>
  <c r="G69" i="5"/>
  <c r="B37" i="5"/>
  <c r="D36" i="5"/>
  <c r="D37" i="5" s="1"/>
  <c r="D38" i="5" s="1"/>
  <c r="B30" i="5"/>
  <c r="C30" i="5" s="1"/>
  <c r="B29" i="5"/>
  <c r="C29" i="5" s="1"/>
  <c r="B28" i="5"/>
  <c r="C28" i="5" s="1"/>
  <c r="C23" i="5"/>
  <c r="J20" i="5"/>
  <c r="J21" i="5" s="1"/>
  <c r="M10" i="7"/>
  <c r="L10" i="7"/>
  <c r="K10" i="7"/>
  <c r="J10" i="7"/>
  <c r="M9" i="7"/>
  <c r="L9" i="7"/>
  <c r="K9" i="7"/>
  <c r="J9" i="7"/>
  <c r="M8" i="7"/>
  <c r="L8" i="7"/>
  <c r="K8" i="7"/>
  <c r="J8" i="7"/>
  <c r="M7" i="7"/>
  <c r="L7" i="7"/>
  <c r="K7" i="7"/>
  <c r="J7" i="7"/>
  <c r="M6" i="7"/>
  <c r="L6" i="7"/>
  <c r="K6" i="7"/>
  <c r="J6" i="7"/>
  <c r="J21" i="6"/>
  <c r="F21" i="6"/>
  <c r="D21" i="6"/>
  <c r="J20" i="6"/>
  <c r="F20" i="6"/>
  <c r="D20" i="6"/>
  <c r="H14" i="6"/>
  <c r="A26" i="5" s="1"/>
  <c r="B26" i="5" s="1"/>
  <c r="C26" i="5" s="1"/>
  <c r="C14" i="6"/>
  <c r="J10" i="6"/>
  <c r="F10" i="6"/>
  <c r="D10" i="6"/>
  <c r="C10" i="6"/>
  <c r="C8" i="6"/>
  <c r="D29" i="6" l="1"/>
  <c r="F29" i="6"/>
  <c r="J29" i="6"/>
  <c r="B24" i="5"/>
  <c r="C24" i="5" s="1"/>
  <c r="D106" i="3" l="1"/>
  <c r="E24" i="1" l="1"/>
  <c r="D25" i="1"/>
  <c r="AZ13" i="2"/>
  <c r="BA83" i="2"/>
  <c r="BA84" i="2"/>
  <c r="BA89" i="2"/>
  <c r="BA90" i="2"/>
  <c r="BA91" i="2"/>
  <c r="BA82" i="2"/>
  <c r="BA75" i="2"/>
  <c r="BA63" i="2"/>
  <c r="BA55" i="2"/>
  <c r="BA43" i="2"/>
  <c r="AZ33" i="2"/>
  <c r="AZ11" i="2"/>
  <c r="D62" i="1"/>
  <c r="AZ62" i="1" s="1"/>
  <c r="O21" i="1"/>
  <c r="M21" i="1"/>
  <c r="L21" i="1"/>
  <c r="J21" i="1"/>
  <c r="I21" i="1"/>
  <c r="G21" i="1"/>
  <c r="M20" i="1"/>
  <c r="J20" i="1"/>
  <c r="G20" i="1"/>
  <c r="O19" i="1"/>
  <c r="M19" i="1"/>
  <c r="L19" i="1"/>
  <c r="J19" i="1"/>
  <c r="I19" i="1"/>
  <c r="G19" i="1"/>
  <c r="M18" i="1"/>
  <c r="J18" i="1"/>
  <c r="G18" i="1"/>
  <c r="B73" i="1"/>
  <c r="AZ73" i="1" s="1"/>
  <c r="B64" i="1"/>
  <c r="AZ64" i="1" s="1"/>
  <c r="F60" i="1"/>
  <c r="F58" i="1"/>
  <c r="F56" i="1"/>
  <c r="F54" i="1"/>
  <c r="E38" i="1"/>
  <c r="E36" i="1"/>
  <c r="E34" i="1"/>
  <c r="E32" i="1"/>
  <c r="AZ12" i="1"/>
  <c r="D60" i="1"/>
  <c r="D58" i="1"/>
  <c r="D56" i="1"/>
  <c r="D54" i="1"/>
  <c r="D44" i="1"/>
  <c r="D49" i="1"/>
  <c r="D45" i="1"/>
  <c r="F20" i="1"/>
  <c r="F17" i="1"/>
  <c r="D28" i="1"/>
  <c r="AZ28" i="1" s="1"/>
  <c r="D22" i="1"/>
  <c r="B71" i="1"/>
  <c r="AZ71" i="1" s="1"/>
  <c r="B72" i="1"/>
  <c r="AZ72" i="1" s="1"/>
  <c r="B66" i="1"/>
  <c r="AZ66" i="1" s="1"/>
  <c r="B67" i="1"/>
  <c r="AZ67" i="1" s="1"/>
  <c r="B68" i="1"/>
  <c r="AZ68" i="1" s="1"/>
  <c r="B69" i="1"/>
  <c r="AZ69" i="1" s="1"/>
  <c r="B70" i="1"/>
  <c r="AZ70" i="1" s="1"/>
  <c r="B65" i="1"/>
  <c r="AZ65" i="1" s="1"/>
  <c r="O61" i="1"/>
  <c r="M61" i="1"/>
  <c r="L61" i="1"/>
  <c r="J61" i="1"/>
  <c r="O59" i="1"/>
  <c r="M59" i="1"/>
  <c r="L59" i="1"/>
  <c r="J59" i="1"/>
  <c r="O57" i="1"/>
  <c r="M57" i="1"/>
  <c r="L57" i="1"/>
  <c r="J57" i="1"/>
  <c r="O55" i="1"/>
  <c r="M55" i="1"/>
  <c r="L55" i="1"/>
  <c r="J55" i="1"/>
  <c r="I61" i="1"/>
  <c r="G61" i="1"/>
  <c r="I59" i="1"/>
  <c r="G59" i="1"/>
  <c r="I57" i="1"/>
  <c r="G57" i="1"/>
  <c r="I55" i="1"/>
  <c r="G55" i="1"/>
  <c r="M60" i="1"/>
  <c r="J60" i="1"/>
  <c r="G60" i="1"/>
  <c r="M58" i="1"/>
  <c r="J58" i="1"/>
  <c r="G58" i="1"/>
  <c r="M56" i="1"/>
  <c r="J56" i="1"/>
  <c r="G56" i="1"/>
  <c r="M54" i="1"/>
  <c r="J54" i="1"/>
  <c r="G54" i="1"/>
  <c r="AZ51" i="1"/>
  <c r="D23" i="1"/>
  <c r="AZ40" i="1"/>
  <c r="O50" i="1"/>
  <c r="M50" i="1"/>
  <c r="O48" i="1"/>
  <c r="M48" i="1"/>
  <c r="O46" i="1"/>
  <c r="M46" i="1"/>
  <c r="O44" i="1"/>
  <c r="M44" i="1"/>
  <c r="L50" i="1"/>
  <c r="J50" i="1"/>
  <c r="L48" i="1"/>
  <c r="J48" i="1"/>
  <c r="L46" i="1"/>
  <c r="J46" i="1"/>
  <c r="L44" i="1"/>
  <c r="J44" i="1"/>
  <c r="I50" i="1"/>
  <c r="G50" i="1"/>
  <c r="I48" i="1"/>
  <c r="G48" i="1"/>
  <c r="I46" i="1"/>
  <c r="G46" i="1"/>
  <c r="I44" i="1"/>
  <c r="G44" i="1"/>
  <c r="M49" i="1"/>
  <c r="M47" i="1"/>
  <c r="M45" i="1"/>
  <c r="M43" i="1"/>
  <c r="J49" i="1"/>
  <c r="J47" i="1"/>
  <c r="J45" i="1"/>
  <c r="J43" i="1"/>
  <c r="G49" i="1"/>
  <c r="G47" i="1"/>
  <c r="G45" i="1"/>
  <c r="G43" i="1"/>
  <c r="L39" i="1"/>
  <c r="J39" i="1"/>
  <c r="M38" i="1"/>
  <c r="M36" i="1"/>
  <c r="J36" i="1"/>
  <c r="G36" i="1"/>
  <c r="M32" i="1"/>
  <c r="J32" i="1"/>
  <c r="G32" i="1"/>
  <c r="E39" i="2"/>
  <c r="E37" i="2"/>
  <c r="D26" i="1"/>
  <c r="D27" i="1"/>
  <c r="D24" i="1"/>
  <c r="D9" i="1"/>
  <c r="M16" i="1"/>
  <c r="G16" i="1"/>
  <c r="G15" i="1"/>
  <c r="D21" i="2"/>
  <c r="D17" i="1" s="1"/>
  <c r="D18" i="2"/>
  <c r="D15" i="1" s="1"/>
  <c r="D11" i="1"/>
  <c r="AZ10" i="1"/>
  <c r="D7" i="1"/>
  <c r="D8" i="1"/>
  <c r="D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Ir. K.E.L. Smekens</author>
  </authors>
  <commentList>
    <comment ref="C82" authorId="0" shapeId="0" xr:uid="{2AC4651A-B7AE-436B-864F-B85A56397436}">
      <text>
        <r>
          <rPr>
            <b/>
            <sz val="9"/>
            <color indexed="81"/>
            <rFont val="Tahoma"/>
            <family val="2"/>
          </rPr>
          <t>Ir. K.E.L. Smekens:</t>
        </r>
        <r>
          <rPr>
            <sz val="9"/>
            <color indexed="81"/>
            <rFont val="Tahoma"/>
            <family val="2"/>
          </rPr>
          <t xml:space="preserve">
added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Ir. K.E.L. Smekens</author>
  </authors>
  <commentList>
    <comment ref="C82" authorId="0" shapeId="0" xr:uid="{2ADA8DD7-6A97-4086-B45B-96FA5DCD8A45}">
      <text>
        <r>
          <rPr>
            <b/>
            <sz val="9"/>
            <color indexed="81"/>
            <rFont val="Tahoma"/>
            <family val="2"/>
          </rPr>
          <t>Ir. K.E.L. Smekens:</t>
        </r>
        <r>
          <rPr>
            <sz val="9"/>
            <color indexed="81"/>
            <rFont val="Tahoma"/>
            <family val="2"/>
          </rPr>
          <t xml:space="preserve">
added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Uslu</author>
  </authors>
  <commentList>
    <comment ref="D4" authorId="0" shapeId="0" xr:uid="{92C82991-1B75-48F5-ADBA-56EDA2A6D04E}">
      <text>
        <r>
          <rPr>
            <b/>
            <sz val="9"/>
            <color indexed="81"/>
            <rFont val="Tahoma"/>
            <family val="2"/>
          </rPr>
          <t>A. Uslu:</t>
        </r>
        <r>
          <rPr>
            <sz val="9"/>
            <color indexed="81"/>
            <rFont val="Tahoma"/>
            <family val="2"/>
          </rPr>
          <t xml:space="preserve">
within the IEE biomass Policies project</t>
        </r>
      </text>
    </comment>
    <comment ref="D8" authorId="0" shapeId="0" xr:uid="{2E1022B7-E187-4AE5-B9FA-02F6A0BC20E8}">
      <text>
        <r>
          <rPr>
            <b/>
            <sz val="9"/>
            <color indexed="81"/>
            <rFont val="Tahoma"/>
            <family val="2"/>
          </rPr>
          <t>A. Uslu:</t>
        </r>
        <r>
          <rPr>
            <sz val="9"/>
            <color indexed="81"/>
            <rFont val="Tahoma"/>
            <family val="2"/>
          </rPr>
          <t xml:space="preserve">
refers to mixed food waste</t>
        </r>
      </text>
    </comment>
    <comment ref="M14" authorId="0" shapeId="0" xr:uid="{32802B8E-4DC6-478D-ABE4-2BEA2875D3F0}">
      <text>
        <r>
          <rPr>
            <b/>
            <sz val="9"/>
            <color indexed="81"/>
            <rFont val="Tahoma"/>
            <family val="2"/>
          </rPr>
          <t>A. Uslu:</t>
        </r>
        <r>
          <rPr>
            <sz val="9"/>
            <color indexed="81"/>
            <rFont val="Tahoma"/>
            <family val="2"/>
          </rPr>
          <t xml:space="preserve">
grass
</t>
        </r>
      </text>
    </comment>
    <comment ref="D15" authorId="0" shapeId="0" xr:uid="{8B12CF74-4DE5-4239-AD85-F0DD67D5CA83}">
      <text>
        <r>
          <rPr>
            <b/>
            <sz val="9"/>
            <color indexed="81"/>
            <rFont val="Tahoma"/>
            <family val="2"/>
          </rPr>
          <t>A. Uslu:</t>
        </r>
        <r>
          <rPr>
            <sz val="9"/>
            <color indexed="81"/>
            <rFont val="Tahoma"/>
            <family val="2"/>
          </rPr>
          <t xml:space="preserve">
includes vegetable waste
and organic fraction of MSW</t>
        </r>
      </text>
    </comment>
    <comment ref="D20" authorId="0" shapeId="0" xr:uid="{D61DDECC-4BB7-4552-A5FD-F9530FD69481}">
      <text>
        <r>
          <rPr>
            <b/>
            <sz val="9"/>
            <color indexed="81"/>
            <rFont val="Tahoma"/>
            <family val="2"/>
          </rPr>
          <t>A. Uslu:</t>
        </r>
        <r>
          <rPr>
            <sz val="9"/>
            <color indexed="81"/>
            <rFont val="Tahoma"/>
            <family val="2"/>
          </rPr>
          <t xml:space="preserve">
primaryand secondary froest residues</t>
        </r>
      </text>
    </comment>
  </commentList>
</comments>
</file>

<file path=xl/sharedStrings.xml><?xml version="1.0" encoding="utf-8"?>
<sst xmlns="http://schemas.openxmlformats.org/spreadsheetml/2006/main" count="1567" uniqueCount="473">
  <si>
    <t>GENERAL INSTRUCTIONS</t>
  </si>
  <si>
    <t>●</t>
  </si>
  <si>
    <t>The technology factsheet contains information about one specific option (e.g. capacity, potential, costs, energy and emission effects and supporting descriptions).</t>
  </si>
  <si>
    <t>The factsheet must be filled-in by the technical experts in the technology field and used as a reference internally (i.e. input for OPERA model) and externally.</t>
  </si>
  <si>
    <t xml:space="preserve">The data in the technology factsheet is for technology options in The Netherlands and could be used for EU countries. </t>
  </si>
  <si>
    <t>A regular update of technology factsheet is required every 3-5 years.</t>
  </si>
  <si>
    <t>Read carefully the definitions and instructions for each parameter below and fill-in all data in the 'Data input' tab. The data will be automatically allocated in the factsheet (see 'Factsheet' tab).</t>
  </si>
  <si>
    <t>Units and conversion factors are found below.</t>
  </si>
  <si>
    <t>Lists of sectors, units, energy carriers, etc. are found in the 'List' tab.</t>
  </si>
  <si>
    <t>The 'Factsheet' and 'List' tabs are locked. If a change is necessary, please send a request to Silvana Gamboa or Koen Smekens.</t>
  </si>
  <si>
    <t>PARAMETER</t>
  </si>
  <si>
    <t>DEFINITION</t>
  </si>
  <si>
    <t>HOW TO FILL-IN THE FACTSHEET?</t>
  </si>
  <si>
    <t>Sector</t>
  </si>
  <si>
    <t>To which sector the technology belongs to (according to OPERA classification).</t>
  </si>
  <si>
    <t xml:space="preserve">Select the sector from the drop-down menu. If the sector is not available in the menu, please specify in the field 'Other'. </t>
  </si>
  <si>
    <t>New sectors can be added to the drop-down menu within the tab 'List' upon request.</t>
  </si>
  <si>
    <t>ETS / Non-ETS</t>
  </si>
  <si>
    <t>Indicate if the technology falls within the Emissions Trading Scheme (ETS).</t>
  </si>
  <si>
    <t>Type of Technology</t>
  </si>
  <si>
    <t xml:space="preserve">Examples: renewable, saving, CCS, biomass, emission reduction, network (e.g. transformer), etc. </t>
  </si>
  <si>
    <t xml:space="preserve">Select the type of technology from the drop-down menu. New types of technologies can be added within the tab 'List' upon request. </t>
  </si>
  <si>
    <t>Description</t>
  </si>
  <si>
    <t xml:space="preserve">Description of the technology, including technology boundaries, components, applications, etc. </t>
  </si>
  <si>
    <t>The description is limited up to 700 characters.</t>
  </si>
  <si>
    <t xml:space="preserve">TRL </t>
  </si>
  <si>
    <t>Select the Technology Readiness Level (TRL) for 2020 based on the assessment below:</t>
  </si>
  <si>
    <t>Please specify data sources in the explanation box.</t>
  </si>
  <si>
    <t xml:space="preserve">NASA/DOD Technology Readiness Level </t>
  </si>
  <si>
    <t>TRL 9</t>
  </si>
  <si>
    <t>Actual system 'flight proven' through succesful mission operations</t>
  </si>
  <si>
    <t>TRL 8</t>
  </si>
  <si>
    <t>Actual system completed and 'flight qualified' through test and demonstration</t>
  </si>
  <si>
    <t>TRL 7</t>
  </si>
  <si>
    <t>System prototype demonstration in space environment</t>
  </si>
  <si>
    <t>TRL 6</t>
  </si>
  <si>
    <t>System/subsystem model or prototype demonstration in a relevant environment (ground or space)</t>
  </si>
  <si>
    <t>TRL 5</t>
  </si>
  <si>
    <t>Component and/or breadboard validation in relevant environment</t>
  </si>
  <si>
    <t>TRL 4</t>
  </si>
  <si>
    <t>Component and/or breadboard validation in laboratory environment</t>
  </si>
  <si>
    <t>TRL 3</t>
  </si>
  <si>
    <t>Analytical and experimental critical function and/or characteristic proof-of-concept</t>
  </si>
  <si>
    <t>TRL 2</t>
  </si>
  <si>
    <t>Technology concept and/or application formulated</t>
  </si>
  <si>
    <t>TRL 1</t>
  </si>
  <si>
    <t>Basic principles observed and reported</t>
  </si>
  <si>
    <t>TECHNICAL DIMENSIONS</t>
  </si>
  <si>
    <t>Factsheet Functional Unit</t>
  </si>
  <si>
    <t>Unit in which the capacity for production of the main output is expressed e.g. Mton or PJ</t>
  </si>
  <si>
    <t>The Factsheet Functional Unit chosen provides a reference for the other parameters (i.e. capacity) in order to keep consistency through the factsheet.</t>
  </si>
  <si>
    <t>Select the functional unit from the drop-down menu. Conversion factors are found at the bottom of this tab (please specify in the explanation box if other conversion factors are used).</t>
  </si>
  <si>
    <t>Capacity</t>
  </si>
  <si>
    <t xml:space="preserve">The typical technology capacity size or sizes if there is clear size dependent data. </t>
  </si>
  <si>
    <t xml:space="preserve">Technologies that differ largely in size (e.g. large and small scale) must be placed in different factsheets. </t>
  </si>
  <si>
    <t xml:space="preserve">Specify the Capacity value and its respective reference from up to 5 different data sources. Please aggregate all sources in the references and sources box at the bottom of 'Data input' tab. </t>
  </si>
  <si>
    <t xml:space="preserve">Data ranges (min,max) will be automatically allocated in the factsheet. </t>
  </si>
  <si>
    <t>Potential</t>
  </si>
  <si>
    <t>How much of the technology option can be installed in The Netherlands or EU?</t>
  </si>
  <si>
    <t xml:space="preserve">Specify the Potential value and its respective reference from up to 5 different data sources. Please aggregate all sources in the references and sources box at the bottom of 'Data input' tab. </t>
  </si>
  <si>
    <t>Select which region is covered for the potential from the drop-down menu.</t>
  </si>
  <si>
    <t>Market share (Deployment share)</t>
  </si>
  <si>
    <t xml:space="preserve">Current market share and maximum expected market share in the future (2030 and 2050). </t>
  </si>
  <si>
    <t>Market share can be optional for some technologies, in that case, please specify the Potential instead or vice-versa.</t>
  </si>
  <si>
    <t xml:space="preserve">Only for competing technologies e.g. heat supply appliances for households such as heat pumps with a market share of 80% of the households. </t>
  </si>
  <si>
    <t xml:space="preserve">Specify the Market share and its respective reference from up to 5 different data sources. Please aggregate all sources in the references and sources box at the bottom of 'Data input' tab. </t>
  </si>
  <si>
    <t>Capacity utilization factor</t>
  </si>
  <si>
    <t xml:space="preserve">The capacity utilization factor is the percentage of the total capacity that is actually being utilized e.g. capacity expansion to absorb additional renewable electricity or over-dimensioning.  </t>
  </si>
  <si>
    <t>If the capacity utlization factor is not filled-in, the value will be automatically assigned as one.</t>
  </si>
  <si>
    <t>Full-load running hours per year</t>
  </si>
  <si>
    <t>The typical number of hours that the technology in question operates per year.</t>
  </si>
  <si>
    <t>Unit of Activity</t>
  </si>
  <si>
    <t>Unit of annual production (output) per year</t>
  </si>
  <si>
    <t xml:space="preserve">Select the activity unit from the drop-down menu. </t>
  </si>
  <si>
    <t>Activity (Cap2Act) (Optional)</t>
  </si>
  <si>
    <t>Actual annual production (output) per year</t>
  </si>
  <si>
    <t>Specify the value for Activity.</t>
  </si>
  <si>
    <t>Activity = Capacity*Load Factor</t>
  </si>
  <si>
    <t>Only relevant for infrastructure technologies (e.g. the amount of energy per hour that can be delivered)</t>
  </si>
  <si>
    <t>Technical lifetime (years)</t>
  </si>
  <si>
    <t>The total amount of years during which the technology can technically perform/function before it must be replaced.</t>
  </si>
  <si>
    <t>Progress ratio</t>
  </si>
  <si>
    <t>Progress ratio (PR) is the cost reduction factor achieved by a doubling of the cumulative installed capacity of a technology.
Learning rate (LR) = 1 – PR
The underlying formula is : Ci= α*Ccumi^b 
Ci = cost of unit i
α = constant (cost unit 1)
Ccumi = Cumulative capacity at time of unit i
b = learning elasticity
A doubling of total cumulative capacity reduces specific costs by a factor of 2b. In the usual case where b is negative, 2b (labelled the progress ratio, PR) is between zero and one. The complement of the progress ratio (1-PR) is called the learning rate (LR). A learning elasticity (b) of -0.32, for example, yields a progress ratio of 0.80 and a learning rate of 20%. This means that the specific capital cost of newly installed capacity decreases by 20% for each doubling of total installed capacity. On a double-logarithmic scale, the decrease in costs appears as a straight line.</t>
  </si>
  <si>
    <t>Hourly profile</t>
  </si>
  <si>
    <t>Is there an hourly profile for the technology?</t>
  </si>
  <si>
    <t>Select YES/NO</t>
  </si>
  <si>
    <t xml:space="preserve">COSTS </t>
  </si>
  <si>
    <t>Year of Euro</t>
  </si>
  <si>
    <t>All costs data must be specified as €2015</t>
  </si>
  <si>
    <t>If amounts are expresed in other currencies or in euros of another year (e.g. €2016), the amount has to be converted. See Monetary conversions at the bottom of the tab.</t>
  </si>
  <si>
    <t>Investment costs</t>
  </si>
  <si>
    <t xml:space="preserve">Total investment costs (CAPEX) in euro in 2020, 2030 and 2050 per functional unit (e.g. per MW, per PJ). </t>
  </si>
  <si>
    <t xml:space="preserve">Specify the Costs and their respective reference for 2020(current), 2030 and 2050 from up to 5 different data sources. Please aggregate all sources in the references and sources box at the bottom of 'Data input' tab. </t>
  </si>
  <si>
    <t>The investments costs are in the case of a new application of the technology. This includes purchase costs, construction costs, net equipment costs and installation costs. It also includes demolition and removal costs of decommissioned installations.</t>
  </si>
  <si>
    <t>Specify in the costs explanation box what specifically is included in the investment costs.</t>
  </si>
  <si>
    <t xml:space="preserve">The costs should not be annualized. Site-specific costs (greenfield/brownfield), pre-design costs, pre-construction costs, financing costs should be extracted from the total value. </t>
  </si>
  <si>
    <t xml:space="preserve">Other costs </t>
  </si>
  <si>
    <t>E.g. electricity connection costs.</t>
  </si>
  <si>
    <t>Please specify Other costs within the Costs explanation box.</t>
  </si>
  <si>
    <t>Data input same as above.</t>
  </si>
  <si>
    <t xml:space="preserve">Fixed operational costs (excluding fuel costs) </t>
  </si>
  <si>
    <t>Fixed operational costs are per year.</t>
  </si>
  <si>
    <t>Variable costs</t>
  </si>
  <si>
    <t>Variable costs are per year.</t>
  </si>
  <si>
    <t>ENERGY IN- AND OUTPUTS</t>
  </si>
  <si>
    <t>Energy carriers</t>
  </si>
  <si>
    <t>Input/output of energy carriers per unit of the main output. The technology may consume/produce more than one input/output.</t>
  </si>
  <si>
    <t xml:space="preserve">Select the energy carrier from the drop-down menu (please specify the main output first). Other energy carriers can be added within the tab 'List' upon request. </t>
  </si>
  <si>
    <r>
      <t>For each technology, the amount of energy  input/output to the process have to be filled in. The process may require more than one input e.g. available waste heat streams can be described as energy outputs or captured CO</t>
    </r>
    <r>
      <rPr>
        <vertAlign val="subscript"/>
        <sz val="12"/>
        <color theme="1"/>
        <rFont val="Calibri"/>
        <family val="2"/>
        <scheme val="minor"/>
      </rPr>
      <t>2</t>
    </r>
    <r>
      <rPr>
        <sz val="12"/>
        <color theme="1"/>
        <rFont val="Calibri"/>
        <family val="2"/>
        <scheme val="minor"/>
      </rPr>
      <t xml:space="preserve"> can also be seen as an output).</t>
    </r>
  </si>
  <si>
    <r>
      <t xml:space="preserve">Specify the values in PJ for 2020, 2030 and 2050 with their respective references from up to 5 different data sources. Please aggregate all sources in the references and sources box at the bottom of 'Data input' tab. </t>
    </r>
    <r>
      <rPr>
        <i/>
        <sz val="12"/>
        <color rgb="FFFF0000"/>
        <rFont val="Calibri"/>
        <family val="2"/>
        <scheme val="minor"/>
      </rPr>
      <t xml:space="preserve">Values for inputs should be expressed as positive and values for outputs should be expressed as negative. </t>
    </r>
  </si>
  <si>
    <t xml:space="preserve">The value should correspond 'per unit of output' (e.g. output of natural gas with 60% efficiency). Explain the details (i.e. efficiency) in the explanation box. </t>
  </si>
  <si>
    <t>MATERIAL FLOWS (Optional)</t>
  </si>
  <si>
    <t xml:space="preserve">Material flows </t>
  </si>
  <si>
    <t xml:space="preserve">Optional except for technologies with activity level associated e.g. iron, steel, ammonia production, ethylene, ethene. </t>
  </si>
  <si>
    <t>Specify the material flows and units and add the values for 2020, 2030 and 2050 withtheir respective references from up to 5 difference data sources. Please aggregate all sources in the references and sources box at the bottom of 'Data input' tab.</t>
  </si>
  <si>
    <t xml:space="preserve">EMISSIONS </t>
  </si>
  <si>
    <t>Emissions</t>
  </si>
  <si>
    <t>Non-fuel/energy-related emissions or emissions reductions (e.g. CCS)</t>
  </si>
  <si>
    <t xml:space="preserve">Select the substance and unit from the drop-down menu. Other emissions can be added within the tab 'List' upon request. </t>
  </si>
  <si>
    <t>Specify the Emissions for 2020, 2030 and 2050 with their respective references from up to 5 difference data sources. Please aggregate all sources in the references and sources box at the bottom of 'Data input' tab.</t>
  </si>
  <si>
    <t>REFERENCES AND SOURCES</t>
  </si>
  <si>
    <t>For values: Add references for each value in their 'Reference' cell (i.e. author and year) and aggregate all references with complete description at the bottom of the 'Data input' tab. If more than 10 references, add other sources under 'Others' box.</t>
  </si>
  <si>
    <t>For other data: Add all data sources with complete description at the bottom of the 'Data input' tab. You may link these references with text in the explanatory boxes. If more than 10 references, add other sources under 'Others' box.</t>
  </si>
  <si>
    <t>UNITS</t>
  </si>
  <si>
    <t>Bln vehicle - km</t>
  </si>
  <si>
    <t>Use this unit to represent transport technologies</t>
  </si>
  <si>
    <t>GWe</t>
  </si>
  <si>
    <t>Gigawatt electrical</t>
  </si>
  <si>
    <t>kton</t>
  </si>
  <si>
    <t>Kiloton</t>
  </si>
  <si>
    <t>Mton</t>
  </si>
  <si>
    <t>Megaton</t>
  </si>
  <si>
    <t>Mton ethene</t>
  </si>
  <si>
    <t>Megaton ethene</t>
  </si>
  <si>
    <t>Mton NH3</t>
  </si>
  <si>
    <t>Megaton Ammonia</t>
  </si>
  <si>
    <t>Mton steel</t>
  </si>
  <si>
    <t>Megaton steel</t>
  </si>
  <si>
    <t>Mvtg</t>
  </si>
  <si>
    <t>Million vehicles</t>
  </si>
  <si>
    <t>PJ</t>
  </si>
  <si>
    <t>PetaJoule</t>
  </si>
  <si>
    <t>CONVERSION FACTORS</t>
  </si>
  <si>
    <t>COMMON CONVERSIONS</t>
  </si>
  <si>
    <r>
      <rPr>
        <sz val="12"/>
        <color theme="1"/>
        <rFont val="Calibri"/>
        <family val="2"/>
        <scheme val="minor"/>
      </rPr>
      <t>1 MJ = 10</t>
    </r>
    <r>
      <rPr>
        <vertAlign val="superscript"/>
        <sz val="12"/>
        <color theme="1"/>
        <rFont val="Calibri"/>
        <family val="2"/>
        <scheme val="minor"/>
      </rPr>
      <t>6</t>
    </r>
    <r>
      <rPr>
        <sz val="12"/>
        <color theme="1"/>
        <rFont val="Calibri"/>
        <family val="2"/>
        <scheme val="minor"/>
      </rPr>
      <t xml:space="preserve"> Joule</t>
    </r>
  </si>
  <si>
    <r>
      <rPr>
        <sz val="12"/>
        <color theme="1"/>
        <rFont val="Calibri"/>
        <family val="2"/>
        <scheme val="minor"/>
      </rPr>
      <t>1 GJ = 10</t>
    </r>
    <r>
      <rPr>
        <vertAlign val="superscript"/>
        <sz val="12"/>
        <color theme="1"/>
        <rFont val="Calibri"/>
        <family val="2"/>
        <scheme val="minor"/>
      </rPr>
      <t>9</t>
    </r>
    <r>
      <rPr>
        <sz val="12"/>
        <color theme="1"/>
        <rFont val="Calibri"/>
        <family val="2"/>
        <scheme val="minor"/>
      </rPr>
      <t xml:space="preserve"> Joule</t>
    </r>
  </si>
  <si>
    <r>
      <rPr>
        <sz val="12"/>
        <color theme="1"/>
        <rFont val="Calibri"/>
        <family val="2"/>
        <scheme val="minor"/>
      </rPr>
      <t>1 TJ = 10</t>
    </r>
    <r>
      <rPr>
        <vertAlign val="superscript"/>
        <sz val="12"/>
        <color theme="1"/>
        <rFont val="Calibri"/>
        <family val="2"/>
        <scheme val="minor"/>
      </rPr>
      <t>12</t>
    </r>
    <r>
      <rPr>
        <sz val="12"/>
        <color theme="1"/>
        <rFont val="Calibri"/>
        <family val="2"/>
        <scheme val="minor"/>
      </rPr>
      <t xml:space="preserve"> Joule</t>
    </r>
  </si>
  <si>
    <r>
      <rPr>
        <sz val="12"/>
        <color theme="1"/>
        <rFont val="Calibri"/>
        <family val="2"/>
        <scheme val="minor"/>
      </rPr>
      <t>1 PJ = 10</t>
    </r>
    <r>
      <rPr>
        <vertAlign val="superscript"/>
        <sz val="12"/>
        <color theme="1"/>
        <rFont val="Calibri"/>
        <family val="2"/>
        <scheme val="minor"/>
      </rPr>
      <t>15</t>
    </r>
    <r>
      <rPr>
        <sz val="12"/>
        <color theme="1"/>
        <rFont val="Calibri"/>
        <family val="2"/>
        <scheme val="minor"/>
      </rPr>
      <t xml:space="preserve"> Joule</t>
    </r>
  </si>
  <si>
    <t>1 MWh = 3,6 GJ</t>
  </si>
  <si>
    <t>1 GWh = 3,6 TJ</t>
  </si>
  <si>
    <t xml:space="preserve">1 TWh = 3,6 PJ </t>
  </si>
  <si>
    <t>OTHER CONVERSIONS</t>
  </si>
  <si>
    <t xml:space="preserve">The International Energy Agency offers a converter for energy units, you can find the converter in the link below: </t>
  </si>
  <si>
    <t>https://www.iea.org/statistics/resources/unitconverter/</t>
  </si>
  <si>
    <t>MONETARY CONVERSIONS</t>
  </si>
  <si>
    <t>If amounts are expresed in other currencies or in euros of another year (e.g. €2016), the amount has to be converted.</t>
  </si>
  <si>
    <r>
      <t xml:space="preserve">A standard method to correct for inflation is to use the </t>
    </r>
    <r>
      <rPr>
        <i/>
        <sz val="12"/>
        <color theme="1"/>
        <rFont val="Calibri"/>
        <family val="2"/>
        <scheme val="minor"/>
      </rPr>
      <t>Harmonised Index of Consumer Prices (HICP) (see below)</t>
    </r>
    <r>
      <rPr>
        <sz val="12"/>
        <color theme="1"/>
        <rFont val="Calibri"/>
        <family val="2"/>
        <scheme val="minor"/>
      </rPr>
      <t xml:space="preserve">. To convert an amount expressed in €2014 to €2017, it has to be multiplied by a factor (HICP 2017/ HICP 2014) = (101,40/99,79) = 1,016. </t>
    </r>
  </si>
  <si>
    <t>Harmonised Index of Consumer Prices (HICP) for the Netherlands:</t>
  </si>
  <si>
    <t>HICP (2015 =100)</t>
  </si>
  <si>
    <t>Statistics Netherlands (CBS), “Consumentenprijzen; Europees geharmoniseerde prijsindex 2015=100”</t>
  </si>
  <si>
    <t>FACTSHEET DATA INPUT</t>
  </si>
  <si>
    <t>Please fill-in here all technology option data including detailed references and sources at the bottom.</t>
  </si>
  <si>
    <t>TECHNOLOGY DESCRIPTION</t>
  </si>
  <si>
    <t>Name of technology option</t>
  </si>
  <si>
    <t>Biomass boiler for built environment &gt;5 MWth</t>
  </si>
  <si>
    <t>Date of factsheet</t>
  </si>
  <si>
    <t>Built environment</t>
  </si>
  <si>
    <t>District heating</t>
  </si>
  <si>
    <t>Non-ETS</t>
  </si>
  <si>
    <t>Biomass</t>
  </si>
  <si>
    <t xml:space="preserve">Refers to a hot water boiler that supplies heat to a district heating network. Wood pellets are used as reference fuel. A selective non-catalytic reduction (SNCR) is taken into account for the reduction of NOx. Thus, the main components consist of a wood pellet silo storage, where wood pellets can be stored up to one week, in addition to a pellet boiler, SNCR, other mechanical components and a simple building. </t>
  </si>
  <si>
    <t>TRL level 2020</t>
  </si>
  <si>
    <t>MWth</t>
  </si>
  <si>
    <t>Functional Unit</t>
  </si>
  <si>
    <t>Main Source</t>
  </si>
  <si>
    <t>Source 2</t>
  </si>
  <si>
    <t>Source 3</t>
  </si>
  <si>
    <t>Source 4</t>
  </si>
  <si>
    <t>Source 5</t>
  </si>
  <si>
    <t>SDE+2019</t>
  </si>
  <si>
    <t>Reference</t>
  </si>
  <si>
    <t>Context</t>
  </si>
  <si>
    <t>2020 (Current)</t>
  </si>
  <si>
    <t>NL</t>
  </si>
  <si>
    <t>Market share</t>
  </si>
  <si>
    <t>%</t>
  </si>
  <si>
    <t>Specify here the market</t>
  </si>
  <si>
    <t>Specify here (if not specified, value will be 1)</t>
  </si>
  <si>
    <t>Please select</t>
  </si>
  <si>
    <t>Specify here</t>
  </si>
  <si>
    <t>Explanation</t>
  </si>
  <si>
    <t xml:space="preserve">The functional unit refers to MWth input. The number of full load hours of such a boiler can vary greatly. It is assumed that the boiler covers a large part of the base load and can also function as a seasonal boiler. That is why the full load hours are set to 6,000. 
The solid biomass potential can be based on the biomass potential studies conducted by DNV GL and the Biomass Policies project. These studies looked at the biomass potential in the Netherlands. The feedstock categories included are: waste wood, forest residues, fuel wood (refers to only current fuel wood use), nature and landscape biomass, and woody/lignocelluloses dedicated crops (this category is included in the Biomass Policies project). These studies indicate the solid biomass potential to be in the range of  41-46 PJ in 2020, increasing to 58.7-72.8 PJ in 2030.  
The import potential to the Netherlands is more difficult to determine. It will depend, amongst others, on the policy frameworks within the EU member states and outside. The  biomass potential in Europe has been defined by a number of studies. The most recent ones are Biomass Policies (Elbersen et al, 2015 ), JRC EU-TIMES (Ruiz et al., 2015) and BioSustain (PWC, 2017). Amongst these studies, the lowest range (referred to as low availability) and the highest range (referred to as high availability) are observed in the JRC study. According to this study, in 2020 the lowest and the highest EU total biomass potential are 8.33-18.17 EJ. In 2030, this range is 8.61-19.97 EJ and in 2050 it is 8.16-21.13 EJ. How much of this potential can be considered as  import potential to the Netherlands will depend on the national policies of each country and the intra EU trade developments regarding wood chips and wood pellets. 
There is also wood chips and wood pellets import potential to Europe and to the Netherlands from regions outside of the EU (form the US, Canada, Russia and Ukraine, Latin and Central America etc). Biomass Policies defines the import potential as 16.67 EJ in 2030, whereas JRC defines it as 0.28-0.52 EJ, increasing to 0.94 EJ. </t>
  </si>
  <si>
    <t>COSTS</t>
  </si>
  <si>
    <t>Reference year: €2015 - If amounts are expressed in other currencies or in euros of another year (e.g. €2014), the amount has to be converted. See conversion method in 'READ ME' tab.</t>
  </si>
  <si>
    <t xml:space="preserve">mln. € / </t>
  </si>
  <si>
    <t>Fixed operational costs per year (excl. fuel costs)</t>
  </si>
  <si>
    <t>Variable costs per year</t>
  </si>
  <si>
    <t>SDE+ 2019</t>
  </si>
  <si>
    <t>Costs explanation</t>
  </si>
  <si>
    <r>
      <t xml:space="preserve">In above figures MWth refers to input. Costs data are converted to 2015. 
Investment costs cover the costs regarding wood pellet storage in silos, wood pellet boiler, </t>
    </r>
    <r>
      <rPr>
        <sz val="11"/>
        <color rgb="FFFF0000"/>
        <rFont val="Calibri"/>
        <family val="2"/>
      </rPr>
      <t>SNCR installation and the building cost</t>
    </r>
    <r>
      <rPr>
        <sz val="11"/>
        <color theme="1"/>
        <rFont val="Calibri"/>
        <family val="2"/>
      </rPr>
      <t xml:space="preserve">.  In SDE+, costs associated with the construction of the installations, excluding the site costs, are also included in the investment costs. 
The fixed O&amp;M costs include costs for fixed maintenance and operational management (remote controlled boiler). The variable O&amp;M costs refers to the costs for consumables and ash-sale. </t>
    </r>
  </si>
  <si>
    <t xml:space="preserve">Values for inputs are expressed as positive and values for outputs as negative. </t>
  </si>
  <si>
    <t>Energy carrier</t>
  </si>
  <si>
    <t>Unit</t>
  </si>
  <si>
    <t>Energy carriers (per unit of main output)</t>
  </si>
  <si>
    <t>Heat</t>
  </si>
  <si>
    <t>Biomass (wood)</t>
  </si>
  <si>
    <t>Energy in- and Outputs explanation</t>
  </si>
  <si>
    <t>MATERIAL FLOWS (OPTIONAL)</t>
  </si>
  <si>
    <t>Material flows</t>
  </si>
  <si>
    <t>Material</t>
  </si>
  <si>
    <t>Material flows explanation</t>
  </si>
  <si>
    <t>Explain here</t>
  </si>
  <si>
    <t>EMISSIONS (Non-fuel/energy-related emissions or emissions reductions (e.g. CCS)</t>
  </si>
  <si>
    <t>Substance</t>
  </si>
  <si>
    <t>Emissions explanation</t>
  </si>
  <si>
    <t>Explain here (e.g. emission factors if calculated)</t>
  </si>
  <si>
    <t>OTHER</t>
  </si>
  <si>
    <t>Other</t>
  </si>
  <si>
    <t>SDE+ Eindadvies 2019</t>
  </si>
  <si>
    <t>DHV, 2017. Biomassapotentieel in Nederland. Verkennende studie naar vrij beschikbaar biomassapotentieel voor energieopwekking in Nederland. Paula Schulze, Johan Holstein, Harm Vlap. GCS.17.R.10032629.2</t>
  </si>
  <si>
    <t xml:space="preserve">Elbersen et. al.2015. Biomass potential in the Netherlands (as part of the biomass Policies project). </t>
  </si>
  <si>
    <t>Others</t>
  </si>
  <si>
    <t>Add other sources here</t>
  </si>
  <si>
    <t>November_2022</t>
  </si>
  <si>
    <t>Parameter</t>
  </si>
  <si>
    <t>Old</t>
  </si>
  <si>
    <t>New</t>
  </si>
  <si>
    <t>Comment</t>
  </si>
  <si>
    <t>Functional unit</t>
  </si>
  <si>
    <t>MW</t>
  </si>
  <si>
    <t>Added text to explanation box: The functional unit MW refers to MWth input.</t>
  </si>
  <si>
    <t>Rounding (to 3 significant digits)</t>
  </si>
  <si>
    <t>Investment costs 2020</t>
  </si>
  <si>
    <t>Formula</t>
  </si>
  <si>
    <t>Investments costs 2030</t>
  </si>
  <si>
    <t>Investments costs 2050</t>
  </si>
  <si>
    <t>Fixed operational cost 2020</t>
  </si>
  <si>
    <t>Fixed operational cost 2030</t>
  </si>
  <si>
    <t>Fixed operational cost 2050</t>
  </si>
  <si>
    <t>Variable cost</t>
  </si>
  <si>
    <t xml:space="preserve">The functional unit MW refers to MWth input. The number of full load hours of such a boiler can vary greatly. It is assumed that the boiler covers a large part of the base load and can also function as a seasonal boiler. That is why the full load hours are set to 6,000. 
The solid biomass potential can be based on the biomass potential studies conducted by DNV GL and the Biomass Policies project. These studies looked at the biomass potential in the Netherlands. The feedstock categories included are: waste wood, forest residues, fuel wood (refers to only current fuel wood use), nature and landscape biomass, and woody/lignocelluloses dedicated crops (this category is included in the Biomass Policies project). These studies indicate the solid biomass potential to be in the range of  41-46 PJ in 2020, increasing to 58.7-72.8 PJ in 2030.  
The import potential to the Netherlands is more difficult to determine. It will depend, amongst others, on the policy frameworks within the EU member states and outside. The  biomass potential in Europe has been defined by a number of studies. The most recent ones are Biomass Policies (Elbersen et al, 2015 ), JRC EU-TIMES (Ruiz et al., 2015) and BioSustain (PWC, 2017). Amongst these studies, the lowest range (referred to as low availability) and the highest range (referred to as high availability) are observed in the JRC study. According to this study, in 2020 the lowest and the highest EU total biomass potential are 8.33-18.17 EJ. In 2030, this range is 8.61-19.97 EJ and in 2050 it is 8.16-21.13 EJ. How much of this potential can be considered as  import potential to the Netherlands will depend on the national policies of each country and the intra EU trade developments regarding wood chips and wood pellets. 
There is also wood chips and wood pellets import potential to Europe and to the Netherlands from regions outside of the EU (form the US, Canada, Russia and Ukraine, Latin and Central America etc). Biomass Policies defines the import potential as 16.67 EJ in 2030, whereas JRC defines it as 0.28-0.52 EJ, increasing to 0.94 EJ. </t>
  </si>
  <si>
    <t>TECHNOLOGY FACTSHEET</t>
  </si>
  <si>
    <t>Author</t>
  </si>
  <si>
    <t>Ayla Uslu</t>
  </si>
  <si>
    <t>Value and Range</t>
  </si>
  <si>
    <t>-</t>
  </si>
  <si>
    <t>Current</t>
  </si>
  <si>
    <t>Capacity utlization factor</t>
  </si>
  <si>
    <t>Euro per Functional Unit</t>
  </si>
  <si>
    <t>Min</t>
  </si>
  <si>
    <t>Max</t>
  </si>
  <si>
    <t>Other costs per year</t>
  </si>
  <si>
    <t xml:space="preserve">Fixed operational costs per year               (excl. fuel costs) </t>
  </si>
  <si>
    <t>Main output:</t>
  </si>
  <si>
    <t xml:space="preserve"> </t>
  </si>
  <si>
    <t>Sectors:</t>
  </si>
  <si>
    <t>Type of Technology:</t>
  </si>
  <si>
    <t>Functional Units Capacity:</t>
  </si>
  <si>
    <t>Functional Units Activity:</t>
  </si>
  <si>
    <t xml:space="preserve">Energy carriers: </t>
  </si>
  <si>
    <t>Energy Carriers Units:</t>
  </si>
  <si>
    <t>Material flows:</t>
  </si>
  <si>
    <t>Emissions:</t>
  </si>
  <si>
    <t>Emissions Units:</t>
  </si>
  <si>
    <t>Please select main output here</t>
  </si>
  <si>
    <t>ETS</t>
  </si>
  <si>
    <t>Agriculture: Horticulture</t>
  </si>
  <si>
    <t>Bln vehicle - km/year</t>
  </si>
  <si>
    <t>Ambient heat</t>
  </si>
  <si>
    <t>CH4</t>
  </si>
  <si>
    <t>Agriculture: Other</t>
  </si>
  <si>
    <t>CCS</t>
  </si>
  <si>
    <t>PJ/year</t>
  </si>
  <si>
    <t>Biobenzine</t>
  </si>
  <si>
    <t>Add here -&gt;</t>
  </si>
  <si>
    <t>CO2</t>
  </si>
  <si>
    <t>Electricity generation</t>
  </si>
  <si>
    <t>Emission reduction</t>
  </si>
  <si>
    <t>kton/year</t>
  </si>
  <si>
    <t>Biodiesel</t>
  </si>
  <si>
    <t>F-gassen</t>
  </si>
  <si>
    <t>Mton CO2-eq</t>
  </si>
  <si>
    <t>Gas supply</t>
  </si>
  <si>
    <t>Energy saving</t>
  </si>
  <si>
    <t>Mton/year</t>
  </si>
  <si>
    <t>Biofuels</t>
  </si>
  <si>
    <t>N2O</t>
  </si>
  <si>
    <t>Yes</t>
  </si>
  <si>
    <t>Households</t>
  </si>
  <si>
    <t>Renewable</t>
  </si>
  <si>
    <t>Mton ethene/year</t>
  </si>
  <si>
    <t>Biofuels FT</t>
  </si>
  <si>
    <t>Fijn stof PM10</t>
  </si>
  <si>
    <t>No</t>
  </si>
  <si>
    <t>Hydrogen</t>
  </si>
  <si>
    <t>CHP</t>
  </si>
  <si>
    <t>Mton NH3/year</t>
  </si>
  <si>
    <t>Biogas</t>
  </si>
  <si>
    <t>Fijn stof PM2,5</t>
  </si>
  <si>
    <t>Industry: Anorganic chemics</t>
  </si>
  <si>
    <t>Network</t>
  </si>
  <si>
    <t>Mton steel/year</t>
  </si>
  <si>
    <t>Bio-LPG</t>
  </si>
  <si>
    <t>SO2</t>
  </si>
  <si>
    <t>Please select the region</t>
  </si>
  <si>
    <t>Industry: Chemics</t>
  </si>
  <si>
    <t>Storage</t>
  </si>
  <si>
    <t>Biomass (coferment)</t>
  </si>
  <si>
    <t>NH3</t>
  </si>
  <si>
    <t>Industry: Construction</t>
  </si>
  <si>
    <t xml:space="preserve">Electrolysis </t>
  </si>
  <si>
    <t>Biomass (GFT &amp; VGI)</t>
  </si>
  <si>
    <t>NMVOS</t>
  </si>
  <si>
    <t>EU</t>
  </si>
  <si>
    <t>Industry: Fertiliser</t>
  </si>
  <si>
    <t>Biomass (high quality)</t>
  </si>
  <si>
    <t>NOx</t>
  </si>
  <si>
    <t>Global</t>
  </si>
  <si>
    <t>Industry: Generic</t>
  </si>
  <si>
    <t>Biomass (manure)</t>
  </si>
  <si>
    <t>Industry: Iron and steel</t>
  </si>
  <si>
    <t>Biomass (starch)</t>
  </si>
  <si>
    <t>Industry: Non ETS</t>
  </si>
  <si>
    <t>Biomass (sugars)</t>
  </si>
  <si>
    <t>Industry: Petrochemics</t>
  </si>
  <si>
    <t>Biomass (waste biogenic)</t>
  </si>
  <si>
    <t>Mobile machinery</t>
  </si>
  <si>
    <t>Biomass (wet streams)</t>
  </si>
  <si>
    <t>Biogas (wet streams)</t>
  </si>
  <si>
    <t>Refineries</t>
  </si>
  <si>
    <t>Biomass (wood abroad)</t>
  </si>
  <si>
    <t>Trade, services and utilities</t>
  </si>
  <si>
    <t>Biomass (wood interior)</t>
  </si>
  <si>
    <t>Transport</t>
  </si>
  <si>
    <t>Bio-waste gases</t>
  </si>
  <si>
    <t>Blast furnace gas</t>
  </si>
  <si>
    <t>CCF gas</t>
  </si>
  <si>
    <t>Chemical residual gas</t>
  </si>
  <si>
    <t>Coal</t>
  </si>
  <si>
    <t>Coke</t>
  </si>
  <si>
    <t>Coke oven gas</t>
  </si>
  <si>
    <t>Coking coal</t>
  </si>
  <si>
    <t>Diesel</t>
  </si>
  <si>
    <t>Electricity</t>
  </si>
  <si>
    <t>Energy content manure</t>
  </si>
  <si>
    <t>Fermentation gas</t>
  </si>
  <si>
    <t>Gasoline</t>
  </si>
  <si>
    <t>Geothermal heat</t>
  </si>
  <si>
    <t>Heavy fuel oil</t>
  </si>
  <si>
    <t>Import electricity</t>
  </si>
  <si>
    <t>Injection coal</t>
  </si>
  <si>
    <t>LPG</t>
  </si>
  <si>
    <t>Natural gas</t>
  </si>
  <si>
    <t>Natural gas feedstock</t>
  </si>
  <si>
    <t>Oil</t>
  </si>
  <si>
    <t>Oil excluding gases</t>
  </si>
  <si>
    <t>Oil raw materials</t>
  </si>
  <si>
    <t>Other bio-oil products</t>
  </si>
  <si>
    <t>Other oil products</t>
  </si>
  <si>
    <t>Residual gases</t>
  </si>
  <si>
    <t>Solar energy</t>
  </si>
  <si>
    <t>Synthetic fuels</t>
  </si>
  <si>
    <t>Uranium</t>
  </si>
  <si>
    <t>Waste (non-biogenic)</t>
  </si>
  <si>
    <t>Wind energy</t>
  </si>
  <si>
    <t>Benzine</t>
  </si>
  <si>
    <t>Bio-ethanol</t>
  </si>
  <si>
    <t>Coal excluding gases</t>
  </si>
  <si>
    <t>Electricity import</t>
  </si>
  <si>
    <t>Fuel oil</t>
  </si>
  <si>
    <t>High Pressure Steam</t>
  </si>
  <si>
    <t>Hydro</t>
  </si>
  <si>
    <t>Kerosene</t>
  </si>
  <si>
    <t>Oil feedstock</t>
  </si>
  <si>
    <t>Oil products</t>
  </si>
  <si>
    <t>Other gases</t>
  </si>
  <si>
    <t>Propane</t>
  </si>
  <si>
    <t>SNG</t>
  </si>
  <si>
    <t>Steam</t>
  </si>
  <si>
    <t>CPI from CBS</t>
  </si>
  <si>
    <t>January</t>
  </si>
  <si>
    <t>February</t>
  </si>
  <si>
    <t>March</t>
  </si>
  <si>
    <t>April</t>
  </si>
  <si>
    <t xml:space="preserve">May </t>
  </si>
  <si>
    <t>June</t>
  </si>
  <si>
    <t>July</t>
  </si>
  <si>
    <t>Kraussler et al Bio SNG data(2018)</t>
  </si>
  <si>
    <t>BioSNg capacity</t>
  </si>
  <si>
    <t>Invetment cost</t>
  </si>
  <si>
    <t>OPEX</t>
  </si>
  <si>
    <t>MWoutput</t>
  </si>
  <si>
    <t>ME2017</t>
  </si>
  <si>
    <t>MEUr/Mwoutput</t>
  </si>
  <si>
    <t>Meur/Mwinput</t>
  </si>
  <si>
    <t>PJ biogas</t>
  </si>
  <si>
    <t>MWh</t>
  </si>
  <si>
    <t>DNVI, 2023</t>
  </si>
  <si>
    <t>Biogas potential is calculatd using 60%. DNV present the primary potential</t>
  </si>
  <si>
    <t>Elbersen et al, 2020</t>
  </si>
  <si>
    <t>DVI 2030</t>
  </si>
  <si>
    <t>Elbersen, 2030</t>
  </si>
  <si>
    <t>NEV calulation for 2020</t>
  </si>
  <si>
    <t>NEV calulation for 2030</t>
  </si>
  <si>
    <t>NEV calulation for 2040</t>
  </si>
  <si>
    <t>SDE+</t>
  </si>
  <si>
    <t>factsheet</t>
  </si>
  <si>
    <t>biogas input</t>
  </si>
  <si>
    <t>kWth</t>
  </si>
  <si>
    <t>Greengas production capacity</t>
  </si>
  <si>
    <t>manure input</t>
  </si>
  <si>
    <t>ton/year</t>
  </si>
  <si>
    <t>CH4 saving</t>
  </si>
  <si>
    <t>ton</t>
  </si>
  <si>
    <t>Based on an inventory of previously carried out biomass and / or green gas potential studies, an estimate was made for each subcategory of the "total" and "freely available" biomass potential for the years 2023 and 2035 and a comparison was made with the current use of these biomass flows.</t>
  </si>
  <si>
    <t xml:space="preserve">Freely available biomass in the Netherlands.  The reported potential of biomass is indicated in PJ primary energy (HHV) of the biomass (ie not of any biogas produced). ?? If not stated otherwise, for the conversion of m³ biogas to PJ primary energy of biomass it is assumed that 1 m³ biogas contains 55% methane, so an energy content of 21 MJ (HHV) has </t>
  </si>
  <si>
    <r>
      <t xml:space="preserve">Elbersen defines the potential as "" net potentials, so excluding known competing uses (e.g. converted to feed or compost), </t>
    </r>
    <r>
      <rPr>
        <u/>
        <sz val="12"/>
        <color theme="1"/>
        <rFont val="Calibri"/>
        <family val="2"/>
        <scheme val="minor"/>
      </rPr>
      <t>but including the share of the potential already going to energy generation</t>
    </r>
    <r>
      <rPr>
        <sz val="12"/>
        <color theme="1"/>
        <rFont val="Calibri"/>
        <family val="2"/>
        <scheme val="minor"/>
      </rPr>
      <t>."</t>
    </r>
  </si>
  <si>
    <t>DHV.2017</t>
  </si>
  <si>
    <t>Elbersen, 2015</t>
  </si>
  <si>
    <t>DHV, 2017</t>
  </si>
  <si>
    <t>Expl</t>
  </si>
  <si>
    <t>biogas potential (routekaart groengas)</t>
  </si>
  <si>
    <t>WET Biomass</t>
  </si>
  <si>
    <t>VGI</t>
  </si>
  <si>
    <t>Voor het bepalen van het totale potentieel is uitgegaan van 8.100 kton restproducten per jaar met een
gemiddelde DS-gehalte van 25% en een energie-inhoud van 17,4 MJ/kg DS.</t>
  </si>
  <si>
    <t>RWZI/AWZI-slib</t>
  </si>
  <si>
    <t>Agricultural residues</t>
  </si>
  <si>
    <t>Mest total</t>
  </si>
  <si>
    <t>To determine the total potential, it was assumed that the availability of manure remains constant. However, there are plans to reduce the livestock population (and with this the production of manure) because the Netherlands currently produces more phosphate than is permitted by law (manure surplus). The methane emissions from livestock will also have to be reduced over time, which will become a limiting factor for the size of the livestock. This does not affect the freely available potential; the total potential has been calculated by DNVGL on the basis of the current manure production, but the freely available potential has been taken over from existing study that assumed a smaller number of livestock in their scenarios. There is therefore no direct link between total potential and freely available potential for agricultural residual flows in this study.</t>
  </si>
  <si>
    <t>mest dune factie</t>
  </si>
  <si>
    <t>mest dikke fractie</t>
  </si>
  <si>
    <t>straw</t>
  </si>
  <si>
    <t>other wet residues</t>
  </si>
  <si>
    <t>GFT &amp;ONF</t>
  </si>
  <si>
    <t>energy mize</t>
  </si>
  <si>
    <t>DRY Biomass</t>
  </si>
  <si>
    <t>waste wood and paper residues</t>
  </si>
  <si>
    <t>waste wood</t>
  </si>
  <si>
    <t>paper resdiues</t>
  </si>
  <si>
    <t>forestry</t>
  </si>
  <si>
    <t>nature and landscape management</t>
  </si>
  <si>
    <t>pruning/cuttings permamnt crops(fruit trees)</t>
  </si>
  <si>
    <t>MSW (organic faction)</t>
  </si>
  <si>
    <t>woody/ligno crops</t>
  </si>
  <si>
    <t>roadside verge gra</t>
  </si>
  <si>
    <t>Aquatic biomass</t>
  </si>
  <si>
    <t>solid biomass total</t>
  </si>
  <si>
    <t>probiio, 2018</t>
  </si>
  <si>
    <t>Verse houtige biomassa, in de vorm van chips en shreds, uit bos, landschap en de bebouwde omgeving</t>
  </si>
  <si>
    <t>Energy content</t>
  </si>
  <si>
    <t>MJ/kg</t>
  </si>
  <si>
    <t>A1 zonder haardhout</t>
  </si>
  <si>
    <t>A1 met hhardhout</t>
  </si>
  <si>
    <t>A2 zoner</t>
  </si>
  <si>
    <t>A2 met</t>
  </si>
  <si>
    <t>DHV GL, 2017</t>
  </si>
  <si>
    <t>Biomassapotentieel in Nederland. Verkennende studie naar vrij beschikbaar biomassapotentieel voor energieopwekking in Nederland. 2017. Paula Schulze, Johan Holstein, Harm Vlap</t>
  </si>
  <si>
    <t>cost reduction</t>
  </si>
  <si>
    <t>Capital investment cost trajectories of gasified biomass CHP plant</t>
  </si>
  <si>
    <t>2020-2015</t>
  </si>
  <si>
    <t>2030-2020</t>
  </si>
  <si>
    <t>2040-2030</t>
  </si>
  <si>
    <t>2050-2040</t>
  </si>
  <si>
    <t>per year</t>
  </si>
  <si>
    <t>Capital investment costs</t>
  </si>
  <si>
    <t>Baseline</t>
  </si>
  <si>
    <t>EUR 2015/kW</t>
  </si>
  <si>
    <t>Diversified</t>
  </si>
  <si>
    <t>ProRES</t>
  </si>
  <si>
    <t>O&amp;M costs</t>
  </si>
  <si>
    <r>
      <t>%</t>
    </r>
    <r>
      <rPr>
        <vertAlign val="subscript"/>
        <sz val="10"/>
        <color rgb="FF000000"/>
        <rFont val="Verdana"/>
        <family val="2"/>
      </rPr>
      <t>CAPEX</t>
    </r>
  </si>
  <si>
    <t>average min-max</t>
  </si>
  <si>
    <t>3100/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</si>
</sst>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0.0%"/>
    <numFmt numFmtId="165" formatCode="_ * #,##0_ ;_ * \-#,##0_ ;_ * &quot;-&quot;??_ ;_ @_ "/>
    <numFmt numFmtId="166" formatCode="0.000"/>
    <numFmt numFmtId="167" formatCode="_ * #,##0.0000_ ;_ * \-#,##0.0000_ ;_ * &quot;-&quot;??_ ;_ @_ "/>
    <numFmt numFmtId="168" formatCode="_ * #,##0.00000000_ ;_ * \-#,##0.00000000_ ;_ * &quot;-&quot;??_ ;_ @_ "/>
    <numFmt numFmtId="169" formatCode="_ * #,##0.000_ ;_ * \-#,##0.000_ ;_ * &quot;-&quot;??_ ;_ @_ "/>
    <numFmt numFmtId="170" formatCode="_ * #,##0.000000000_ ;_ * \-#,##0.000000000_ ;_ * &quot;-&quot;??_ ;_ @_ "/>
  </numFmts>
  <fonts count="57">
    <font>
      <sz val="12"/>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2"/>
      <name val="Calibri"/>
      <family val="2"/>
    </font>
    <font>
      <sz val="12"/>
      <color theme="1"/>
      <name val="Calibri"/>
      <family val="2"/>
    </font>
    <font>
      <b/>
      <sz val="12"/>
      <color theme="1"/>
      <name val="Calibri"/>
      <family val="2"/>
    </font>
    <font>
      <i/>
      <sz val="12"/>
      <color rgb="FFFF0000"/>
      <name val="Calibri"/>
      <family val="2"/>
      <scheme val="minor"/>
    </font>
    <font>
      <sz val="14"/>
      <color theme="1"/>
      <name val="Calibri"/>
      <family val="2"/>
      <scheme val="minor"/>
    </font>
    <font>
      <b/>
      <u/>
      <sz val="16"/>
      <color theme="1"/>
      <name val="Calibri"/>
      <family val="2"/>
      <scheme val="minor"/>
    </font>
    <font>
      <i/>
      <sz val="14"/>
      <color theme="1"/>
      <name val="Calibri"/>
      <family val="2"/>
      <scheme val="minor"/>
    </font>
    <font>
      <b/>
      <sz val="12"/>
      <color theme="1"/>
      <name val="Calibri"/>
      <family val="2"/>
      <scheme val="minor"/>
    </font>
    <font>
      <i/>
      <sz val="11"/>
      <color theme="1" tint="0.499984740745262"/>
      <name val="Calibri"/>
      <family val="2"/>
    </font>
    <font>
      <b/>
      <sz val="14"/>
      <color theme="1"/>
      <name val="Calibri"/>
      <family val="2"/>
      <scheme val="minor"/>
    </font>
    <font>
      <sz val="10"/>
      <color theme="1"/>
      <name val="Calibri"/>
      <family val="2"/>
      <scheme val="minor"/>
    </font>
    <font>
      <i/>
      <sz val="12"/>
      <color theme="1"/>
      <name val="Calibri"/>
      <family val="2"/>
      <scheme val="minor"/>
    </font>
    <font>
      <i/>
      <u/>
      <sz val="12"/>
      <color theme="1"/>
      <name val="Calibri"/>
      <family val="2"/>
    </font>
    <font>
      <b/>
      <sz val="12"/>
      <name val="Calibri"/>
      <family val="2"/>
    </font>
    <font>
      <sz val="12"/>
      <color rgb="FFFF0000"/>
      <name val="Calibri"/>
      <family val="2"/>
    </font>
    <font>
      <sz val="12"/>
      <name val="Calibri"/>
      <family val="2"/>
      <scheme val="minor"/>
    </font>
    <font>
      <sz val="12"/>
      <color rgb="FFFF0000"/>
      <name val="Calibri"/>
      <family val="2"/>
      <scheme val="minor"/>
    </font>
    <font>
      <sz val="11"/>
      <color rgb="FFFF0000"/>
      <name val="Calibri"/>
      <family val="2"/>
      <scheme val="minor"/>
    </font>
    <font>
      <u/>
      <sz val="12"/>
      <color theme="10"/>
      <name val="Calibri"/>
      <family val="2"/>
      <scheme val="minor"/>
    </font>
    <font>
      <sz val="11"/>
      <name val="Calibri"/>
      <family val="2"/>
      <scheme val="minor"/>
    </font>
    <font>
      <vertAlign val="subscript"/>
      <sz val="12"/>
      <color theme="1"/>
      <name val="Calibri"/>
      <family val="2"/>
      <scheme val="minor"/>
    </font>
    <font>
      <sz val="12"/>
      <color rgb="FF000000"/>
      <name val="Calibri"/>
      <family val="2"/>
      <scheme val="minor"/>
    </font>
    <font>
      <vertAlign val="superscript"/>
      <sz val="12"/>
      <color theme="1"/>
      <name val="Calibri"/>
      <family val="2"/>
      <scheme val="minor"/>
    </font>
    <font>
      <b/>
      <u/>
      <sz val="12"/>
      <color theme="1"/>
      <name val="Calibri"/>
      <family val="2"/>
      <scheme val="minor"/>
    </font>
    <font>
      <b/>
      <sz val="14"/>
      <color theme="1"/>
      <name val="Calibri"/>
      <family val="2"/>
    </font>
    <font>
      <sz val="12"/>
      <color theme="1"/>
      <name val="Calibri"/>
      <family val="2"/>
      <scheme val="minor"/>
    </font>
    <font>
      <i/>
      <sz val="12"/>
      <color theme="1" tint="0.499984740745262"/>
      <name val="Calibri"/>
      <family val="2"/>
      <scheme val="minor"/>
    </font>
    <font>
      <b/>
      <sz val="11"/>
      <color theme="1"/>
      <name val="Calibri"/>
      <family val="2"/>
      <scheme val="minor"/>
    </font>
    <font>
      <b/>
      <sz val="11"/>
      <color theme="1"/>
      <name val="Calibri"/>
      <family val="2"/>
    </font>
    <font>
      <sz val="11"/>
      <name val="Calibri"/>
      <family val="2"/>
    </font>
    <font>
      <i/>
      <sz val="11"/>
      <color theme="1" tint="0.499984740745262"/>
      <name val="Calibri"/>
      <family val="2"/>
      <scheme val="minor"/>
    </font>
    <font>
      <i/>
      <sz val="11"/>
      <color rgb="FFFF0000"/>
      <name val="Calibri"/>
      <family val="2"/>
      <scheme val="minor"/>
    </font>
    <font>
      <i/>
      <sz val="11"/>
      <name val="Calibri"/>
      <family val="2"/>
      <scheme val="minor"/>
    </font>
    <font>
      <i/>
      <sz val="12"/>
      <color rgb="FFFF0000"/>
      <name val="Calibri"/>
      <family val="2"/>
    </font>
    <font>
      <i/>
      <sz val="10"/>
      <color rgb="FFFF0000"/>
      <name val="Calibri"/>
      <family val="2"/>
      <scheme val="minor"/>
    </font>
    <font>
      <sz val="12"/>
      <color rgb="FFFF0000"/>
      <name val="Times New Roman"/>
      <family val="1"/>
    </font>
    <font>
      <sz val="11"/>
      <color theme="0"/>
      <name val="Calibri"/>
      <family val="2"/>
      <scheme val="minor"/>
    </font>
    <font>
      <b/>
      <sz val="12"/>
      <name val="Calibri"/>
      <family val="2"/>
      <scheme val="minor"/>
    </font>
    <font>
      <sz val="14"/>
      <name val="Calibri"/>
      <family val="2"/>
      <scheme val="minor"/>
    </font>
    <font>
      <i/>
      <sz val="10"/>
      <color rgb="FFFF0000"/>
      <name val="Calibri"/>
      <family val="2"/>
    </font>
    <font>
      <sz val="8"/>
      <color rgb="FF000000"/>
      <name val="Verdana"/>
      <family val="2"/>
    </font>
    <font>
      <u/>
      <sz val="12"/>
      <color theme="1"/>
      <name val="Calibri"/>
      <family val="2"/>
      <scheme val="minor"/>
    </font>
    <font>
      <b/>
      <i/>
      <sz val="12"/>
      <color rgb="FFFF0000"/>
      <name val="Calibri"/>
      <family val="2"/>
      <scheme val="minor"/>
    </font>
    <font>
      <b/>
      <sz val="12"/>
      <color rgb="FFFF0000"/>
      <name val="Calibri"/>
      <family val="2"/>
      <scheme val="minor"/>
    </font>
    <font>
      <b/>
      <i/>
      <sz val="12"/>
      <color theme="1"/>
      <name val="Calibri"/>
      <family val="2"/>
      <scheme val="minor"/>
    </font>
    <font>
      <b/>
      <sz val="9"/>
      <color indexed="81"/>
      <name val="Tahoma"/>
      <family val="2"/>
    </font>
    <font>
      <sz val="9"/>
      <color indexed="81"/>
      <name val="Tahoma"/>
      <family val="2"/>
    </font>
    <font>
      <b/>
      <sz val="10"/>
      <color rgb="FFFFFFFF"/>
      <name val="Verdana"/>
      <family val="2"/>
    </font>
    <font>
      <sz val="10"/>
      <color rgb="FF000000"/>
      <name val="Verdana"/>
      <family val="2"/>
    </font>
    <font>
      <vertAlign val="subscript"/>
      <sz val="10"/>
      <color rgb="FF000000"/>
      <name val="Verdana"/>
      <family val="2"/>
    </font>
    <font>
      <sz val="12"/>
      <color theme="1"/>
      <name val="Times New Roman"/>
      <family val="1"/>
    </font>
    <font>
      <sz val="11"/>
      <color rgb="FFFF0000"/>
      <name val="Calibri"/>
      <family val="2"/>
    </font>
    <font>
      <b/>
      <sz val="16"/>
      <color theme="0"/>
      <name val="Calibri"/>
      <family val="2"/>
    </font>
  </fonts>
  <fills count="18">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rgb="FFFFFFFF"/>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rgb="FF73FDD6"/>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6" tint="0.79998168889431442"/>
        <bgColor indexed="64"/>
      </patternFill>
    </fill>
    <fill>
      <patternFill patternType="solid">
        <fgColor rgb="FF9BBB59"/>
        <bgColor indexed="64"/>
      </patternFill>
    </fill>
    <fill>
      <patternFill patternType="solid">
        <fgColor rgb="FFCDDDAC"/>
        <bgColor indexed="64"/>
      </patternFill>
    </fill>
    <fill>
      <patternFill patternType="solid">
        <fgColor rgb="FFE6EED5"/>
        <bgColor indexed="64"/>
      </patternFill>
    </fill>
    <fill>
      <patternFill patternType="solid">
        <fgColor rgb="FFFFFF00"/>
        <bgColor indexed="64"/>
      </patternFill>
    </fill>
    <fill>
      <patternFill patternType="solid">
        <fgColor theme="4" tint="-0.249977111117893"/>
        <bgColor indexed="64"/>
      </patternFill>
    </fill>
  </fills>
  <borders count="76">
    <border>
      <left/>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indexed="64"/>
      </left>
      <right/>
      <top/>
      <bottom/>
      <diagonal/>
    </border>
    <border>
      <left/>
      <right style="thin">
        <color auto="1"/>
      </right>
      <top/>
      <bottom style="medium">
        <color indexed="64"/>
      </bottom>
      <diagonal/>
    </border>
    <border>
      <left/>
      <right style="medium">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style="thin">
        <color auto="1"/>
      </right>
      <top/>
      <bottom style="medium">
        <color indexed="64"/>
      </bottom>
      <diagonal/>
    </border>
    <border>
      <left style="thin">
        <color auto="1"/>
      </left>
      <right/>
      <top style="medium">
        <color auto="1"/>
      </top>
      <bottom/>
      <diagonal/>
    </border>
    <border>
      <left style="thin">
        <color indexed="64"/>
      </left>
      <right style="medium">
        <color indexed="64"/>
      </right>
      <top style="medium">
        <color indexed="64"/>
      </top>
      <bottom/>
      <diagonal/>
    </border>
    <border>
      <left style="thin">
        <color auto="1"/>
      </left>
      <right style="medium">
        <color indexed="64"/>
      </right>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style="thin">
        <color auto="1"/>
      </left>
      <right/>
      <top style="medium">
        <color indexed="64"/>
      </top>
      <bottom style="medium">
        <color indexed="64"/>
      </bottom>
      <diagonal/>
    </border>
    <border>
      <left style="medium">
        <color rgb="FFFFFFFF"/>
      </left>
      <right style="medium">
        <color rgb="FFCCCCCC"/>
      </right>
      <top/>
      <bottom style="medium">
        <color rgb="FFFFFFFF"/>
      </bottom>
      <diagonal/>
    </border>
    <border>
      <left/>
      <right style="medium">
        <color rgb="FFCCCCCC"/>
      </right>
      <top/>
      <bottom style="medium">
        <color rgb="FFFFFFFF"/>
      </bottom>
      <diagonal/>
    </border>
    <border>
      <left/>
      <right style="medium">
        <color rgb="FFFFFFFF"/>
      </right>
      <top/>
      <bottom style="medium">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thick">
        <color rgb="FFFFFFFF"/>
      </right>
      <top style="thick">
        <color rgb="FFFFFFFF"/>
      </top>
      <bottom/>
      <diagonal/>
    </border>
    <border>
      <left style="medium">
        <color rgb="FFFFFFFF"/>
      </left>
      <right style="medium">
        <color rgb="FFFFFFFF"/>
      </right>
      <top style="thick">
        <color rgb="FFFFFFFF"/>
      </top>
      <bottom/>
      <diagonal/>
    </border>
    <border>
      <left style="medium">
        <color rgb="FFFFFFFF"/>
      </left>
      <right style="thick">
        <color rgb="FFFFFFFF"/>
      </right>
      <top/>
      <bottom/>
      <diagonal/>
    </border>
    <border>
      <left style="medium">
        <color rgb="FFFFFFFF"/>
      </left>
      <right style="medium">
        <color rgb="FFFFFFFF"/>
      </right>
      <top/>
      <bottom/>
      <diagonal/>
    </border>
    <border>
      <left style="medium">
        <color rgb="FFFFFFFF"/>
      </left>
      <right style="thick">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thick">
        <color rgb="FFFFFFFF"/>
      </right>
      <top style="medium">
        <color rgb="FFFFFFFF"/>
      </top>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right style="medium">
        <color auto="1"/>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auto="1"/>
      </right>
      <top style="thin">
        <color auto="1"/>
      </top>
      <bottom style="medium">
        <color indexed="64"/>
      </bottom>
      <diagonal/>
    </border>
  </borders>
  <cellStyleXfs count="4">
    <xf numFmtId="0" fontId="0" fillId="0" borderId="0"/>
    <xf numFmtId="0" fontId="22" fillId="0" borderId="0" applyNumberFormat="0" applyFill="0" applyBorder="0" applyAlignment="0" applyProtection="0"/>
    <xf numFmtId="43" fontId="29" fillId="0" borderId="0" applyFont="0" applyFill="0" applyBorder="0" applyAlignment="0" applyProtection="0"/>
    <xf numFmtId="9" fontId="29" fillId="0" borderId="0" applyFont="0" applyFill="0" applyBorder="0" applyAlignment="0" applyProtection="0"/>
  </cellStyleXfs>
  <cellXfs count="519">
    <xf numFmtId="0" fontId="0" fillId="0" borderId="0" xfId="0"/>
    <xf numFmtId="0" fontId="0" fillId="7" borderId="0" xfId="0" applyFill="1"/>
    <xf numFmtId="0" fontId="8" fillId="7" borderId="0" xfId="0" applyFont="1" applyFill="1"/>
    <xf numFmtId="0" fontId="9" fillId="7" borderId="0" xfId="0" applyFont="1" applyFill="1"/>
    <xf numFmtId="0" fontId="10" fillId="7" borderId="0" xfId="0" applyFont="1" applyFill="1"/>
    <xf numFmtId="0" fontId="0" fillId="7" borderId="0" xfId="0" applyFill="1" applyAlignment="1">
      <alignment horizontal="right"/>
    </xf>
    <xf numFmtId="0" fontId="5" fillId="7" borderId="0" xfId="0" applyFont="1" applyFill="1" applyAlignment="1">
      <alignment vertical="center" wrapText="1"/>
    </xf>
    <xf numFmtId="0" fontId="6" fillId="7" borderId="0" xfId="0" applyFont="1" applyFill="1" applyAlignment="1">
      <alignment vertical="center" wrapText="1"/>
    </xf>
    <xf numFmtId="0" fontId="4" fillId="7" borderId="18" xfId="0" applyFont="1" applyFill="1" applyBorder="1" applyAlignment="1">
      <alignment vertical="center" wrapText="1"/>
    </xf>
    <xf numFmtId="0" fontId="4" fillId="7" borderId="32" xfId="0" applyFont="1" applyFill="1" applyBorder="1" applyAlignment="1">
      <alignment vertical="center" wrapText="1"/>
    </xf>
    <xf numFmtId="0" fontId="4" fillId="7" borderId="21" xfId="0" applyFont="1" applyFill="1" applyBorder="1" applyAlignment="1">
      <alignment vertical="center" wrapText="1"/>
    </xf>
    <xf numFmtId="0" fontId="14" fillId="7" borderId="16" xfId="0" applyFont="1" applyFill="1" applyBorder="1" applyAlignment="1">
      <alignment horizontal="right"/>
    </xf>
    <xf numFmtId="0" fontId="14" fillId="7" borderId="46" xfId="0" applyFont="1" applyFill="1" applyBorder="1" applyAlignment="1">
      <alignment horizontal="right"/>
    </xf>
    <xf numFmtId="0" fontId="14" fillId="7" borderId="19" xfId="0" applyFont="1" applyFill="1" applyBorder="1" applyAlignment="1">
      <alignment horizontal="right"/>
    </xf>
    <xf numFmtId="0" fontId="14" fillId="7" borderId="22" xfId="0" applyFont="1" applyFill="1" applyBorder="1" applyAlignment="1">
      <alignment horizontal="right"/>
    </xf>
    <xf numFmtId="0" fontId="11" fillId="7" borderId="0" xfId="0" applyFont="1" applyFill="1"/>
    <xf numFmtId="0" fontId="15" fillId="7" borderId="0" xfId="0" applyFont="1" applyFill="1"/>
    <xf numFmtId="0" fontId="5" fillId="7" borderId="21" xfId="0" applyFont="1" applyFill="1" applyBorder="1" applyAlignment="1">
      <alignment vertical="top" wrapText="1"/>
    </xf>
    <xf numFmtId="0" fontId="5" fillId="7" borderId="18" xfId="0" applyFont="1" applyFill="1" applyBorder="1" applyAlignment="1">
      <alignment vertical="top" wrapText="1"/>
    </xf>
    <xf numFmtId="0" fontId="5" fillId="7" borderId="32" xfId="0" applyFont="1" applyFill="1" applyBorder="1" applyAlignment="1">
      <alignment vertical="top" wrapText="1"/>
    </xf>
    <xf numFmtId="0" fontId="5" fillId="7" borderId="46" xfId="0" applyFont="1" applyFill="1" applyBorder="1" applyAlignment="1">
      <alignment horizontal="right" vertical="top" wrapText="1"/>
    </xf>
    <xf numFmtId="0" fontId="17" fillId="7" borderId="22" xfId="0" applyFont="1" applyFill="1" applyBorder="1" applyAlignment="1">
      <alignment vertical="top" wrapText="1"/>
    </xf>
    <xf numFmtId="0" fontId="14" fillId="7" borderId="46" xfId="0" applyFont="1" applyFill="1" applyBorder="1" applyAlignment="1">
      <alignment horizontal="right" vertical="top"/>
    </xf>
    <xf numFmtId="0" fontId="5" fillId="7" borderId="18" xfId="0" applyFont="1" applyFill="1" applyBorder="1" applyAlignment="1">
      <alignment vertical="center" wrapText="1"/>
    </xf>
    <xf numFmtId="0" fontId="5" fillId="7" borderId="32" xfId="0" applyFont="1" applyFill="1" applyBorder="1" applyAlignment="1">
      <alignment vertical="center" wrapText="1"/>
    </xf>
    <xf numFmtId="0" fontId="4" fillId="7" borderId="32" xfId="0" applyFont="1" applyFill="1" applyBorder="1" applyAlignment="1">
      <alignment vertical="top" wrapText="1"/>
    </xf>
    <xf numFmtId="0" fontId="14" fillId="7" borderId="0" xfId="0" applyFont="1" applyFill="1" applyAlignment="1">
      <alignment horizontal="right"/>
    </xf>
    <xf numFmtId="0" fontId="14" fillId="7" borderId="17" xfId="0" applyFont="1" applyFill="1" applyBorder="1" applyAlignment="1">
      <alignment horizontal="right"/>
    </xf>
    <xf numFmtId="0" fontId="0" fillId="7" borderId="32" xfId="0" applyFill="1" applyBorder="1"/>
    <xf numFmtId="0" fontId="0" fillId="7" borderId="20" xfId="0" applyFill="1" applyBorder="1"/>
    <xf numFmtId="0" fontId="0" fillId="7" borderId="21" xfId="0" applyFill="1" applyBorder="1"/>
    <xf numFmtId="0" fontId="11" fillId="7" borderId="24" xfId="0" applyFont="1" applyFill="1" applyBorder="1"/>
    <xf numFmtId="0" fontId="11" fillId="7" borderId="45" xfId="0" applyFont="1" applyFill="1" applyBorder="1"/>
    <xf numFmtId="0" fontId="11" fillId="7" borderId="25" xfId="0" applyFont="1" applyFill="1" applyBorder="1"/>
    <xf numFmtId="0" fontId="14" fillId="7" borderId="22" xfId="0" applyFont="1" applyFill="1" applyBorder="1" applyAlignment="1">
      <alignment horizontal="right" vertical="top"/>
    </xf>
    <xf numFmtId="0" fontId="20" fillId="7" borderId="0" xfId="0" applyFont="1" applyFill="1"/>
    <xf numFmtId="0" fontId="14" fillId="7" borderId="16" xfId="0" applyFont="1" applyFill="1" applyBorder="1" applyAlignment="1">
      <alignment horizontal="right" vertical="top"/>
    </xf>
    <xf numFmtId="0" fontId="4" fillId="7" borderId="18" xfId="0" applyFont="1" applyFill="1" applyBorder="1" applyAlignment="1">
      <alignment vertical="top" wrapText="1"/>
    </xf>
    <xf numFmtId="0" fontId="19" fillId="7" borderId="0" xfId="0" applyFont="1" applyFill="1"/>
    <xf numFmtId="0" fontId="4" fillId="7" borderId="0" xfId="0" applyFont="1" applyFill="1" applyAlignment="1">
      <alignment vertical="center" wrapText="1"/>
    </xf>
    <xf numFmtId="0" fontId="4" fillId="7" borderId="17" xfId="0" applyFont="1" applyFill="1" applyBorder="1" applyAlignment="1">
      <alignment vertical="center" wrapText="1"/>
    </xf>
    <xf numFmtId="0" fontId="5" fillId="7" borderId="17" xfId="0" applyFont="1" applyFill="1" applyBorder="1" applyAlignment="1">
      <alignment vertical="top" wrapText="1"/>
    </xf>
    <xf numFmtId="0" fontId="5" fillId="7" borderId="0" xfId="0" applyFont="1" applyFill="1" applyAlignment="1">
      <alignment vertical="top" wrapText="1"/>
    </xf>
    <xf numFmtId="0" fontId="16" fillId="7" borderId="0" xfId="0" applyFont="1" applyFill="1" applyAlignment="1">
      <alignment vertical="top" wrapText="1"/>
    </xf>
    <xf numFmtId="0" fontId="4" fillId="7" borderId="17" xfId="0" applyFont="1" applyFill="1" applyBorder="1" applyAlignment="1">
      <alignment vertical="top" wrapText="1"/>
    </xf>
    <xf numFmtId="0" fontId="5" fillId="7" borderId="17" xfId="0" applyFont="1" applyFill="1" applyBorder="1" applyAlignment="1">
      <alignment vertical="center" wrapText="1"/>
    </xf>
    <xf numFmtId="0" fontId="0" fillId="7" borderId="46" xfId="0" applyFill="1" applyBorder="1"/>
    <xf numFmtId="0" fontId="0" fillId="7" borderId="19" xfId="0" applyFill="1" applyBorder="1"/>
    <xf numFmtId="0" fontId="14" fillId="7" borderId="19" xfId="0" applyFont="1" applyFill="1" applyBorder="1" applyAlignment="1">
      <alignment horizontal="right" vertical="top"/>
    </xf>
    <xf numFmtId="0" fontId="4" fillId="7" borderId="23" xfId="0" applyFont="1" applyFill="1" applyBorder="1" applyAlignment="1">
      <alignment vertical="center" wrapText="1"/>
    </xf>
    <xf numFmtId="0" fontId="5" fillId="7" borderId="23" xfId="0" applyFont="1" applyFill="1" applyBorder="1" applyAlignment="1">
      <alignment vertical="top" wrapText="1"/>
    </xf>
    <xf numFmtId="0" fontId="17" fillId="7" borderId="22" xfId="0" applyFont="1" applyFill="1" applyBorder="1" applyAlignment="1">
      <alignment vertical="center" wrapText="1"/>
    </xf>
    <xf numFmtId="0" fontId="18" fillId="7" borderId="21" xfId="0" applyFont="1" applyFill="1" applyBorder="1" applyAlignment="1">
      <alignment vertical="center" wrapText="1"/>
    </xf>
    <xf numFmtId="0" fontId="14" fillId="7" borderId="17" xfId="0" applyFont="1" applyFill="1" applyBorder="1" applyAlignment="1">
      <alignment horizontal="right" vertical="top"/>
    </xf>
    <xf numFmtId="0" fontId="4" fillId="7" borderId="21" xfId="0" applyFont="1" applyFill="1" applyBorder="1" applyAlignment="1">
      <alignment vertical="top" wrapText="1"/>
    </xf>
    <xf numFmtId="0" fontId="13" fillId="8" borderId="15" xfId="0" applyFont="1" applyFill="1" applyBorder="1"/>
    <xf numFmtId="0" fontId="6" fillId="7" borderId="20" xfId="0" applyFont="1" applyFill="1" applyBorder="1" applyAlignment="1">
      <alignment vertical="center" wrapText="1"/>
    </xf>
    <xf numFmtId="0" fontId="0" fillId="7" borderId="18" xfId="0" applyFill="1" applyBorder="1" applyAlignment="1">
      <alignment horizontal="left" vertical="center"/>
    </xf>
    <xf numFmtId="0" fontId="0" fillId="7" borderId="32" xfId="0" applyFill="1" applyBorder="1" applyAlignment="1">
      <alignment horizontal="left" vertical="center"/>
    </xf>
    <xf numFmtId="0" fontId="0" fillId="7" borderId="21" xfId="0" applyFill="1" applyBorder="1" applyAlignment="1">
      <alignment horizontal="left" vertical="center"/>
    </xf>
    <xf numFmtId="0" fontId="11" fillId="7" borderId="24" xfId="0" applyFont="1" applyFill="1" applyBorder="1" applyAlignment="1">
      <alignment vertical="top"/>
    </xf>
    <xf numFmtId="0" fontId="8" fillId="7" borderId="16" xfId="0" applyFont="1" applyFill="1" applyBorder="1"/>
    <xf numFmtId="0" fontId="0" fillId="7" borderId="18" xfId="0" applyFill="1" applyBorder="1" applyAlignment="1">
      <alignment vertical="center" wrapText="1"/>
    </xf>
    <xf numFmtId="0" fontId="8" fillId="7" borderId="46" xfId="0" applyFont="1" applyFill="1" applyBorder="1"/>
    <xf numFmtId="0" fontId="22" fillId="7" borderId="32" xfId="1" applyFill="1" applyBorder="1" applyAlignment="1">
      <alignment vertical="center"/>
    </xf>
    <xf numFmtId="0" fontId="0" fillId="7" borderId="32" xfId="0" applyFill="1" applyBorder="1" applyAlignment="1">
      <alignment vertical="center" wrapText="1"/>
    </xf>
    <xf numFmtId="0" fontId="0" fillId="7" borderId="32" xfId="0" applyFill="1" applyBorder="1" applyAlignment="1">
      <alignment horizontal="left" vertical="center" wrapText="1"/>
    </xf>
    <xf numFmtId="0" fontId="25" fillId="7" borderId="46" xfId="0" applyFont="1" applyFill="1" applyBorder="1" applyAlignment="1">
      <alignment vertical="center" wrapText="1"/>
    </xf>
    <xf numFmtId="0" fontId="25" fillId="7" borderId="45" xfId="0" applyFont="1" applyFill="1" applyBorder="1" applyAlignment="1">
      <alignment horizontal="left" vertical="center" wrapText="1"/>
    </xf>
    <xf numFmtId="0" fontId="27" fillId="7" borderId="45" xfId="0" applyFont="1" applyFill="1" applyBorder="1" applyAlignment="1">
      <alignment horizontal="left"/>
    </xf>
    <xf numFmtId="0" fontId="15" fillId="0" borderId="19" xfId="0" applyFont="1" applyBorder="1"/>
    <xf numFmtId="0" fontId="20" fillId="7" borderId="32" xfId="0" applyFont="1" applyFill="1" applyBorder="1" applyAlignment="1">
      <alignment vertical="center" wrapText="1"/>
    </xf>
    <xf numFmtId="0" fontId="3" fillId="0" borderId="0" xfId="0" applyFont="1"/>
    <xf numFmtId="0" fontId="33" fillId="7" borderId="0" xfId="0" applyFont="1" applyFill="1" applyAlignment="1" applyProtection="1">
      <alignment vertical="top" wrapText="1"/>
      <protection locked="0"/>
    </xf>
    <xf numFmtId="0" fontId="32" fillId="7" borderId="0" xfId="0" applyFont="1" applyFill="1" applyAlignment="1">
      <alignment vertical="center" wrapText="1"/>
    </xf>
    <xf numFmtId="0" fontId="31" fillId="7" borderId="0" xfId="0" applyFont="1" applyFill="1" applyAlignment="1">
      <alignment vertical="center" wrapText="1"/>
    </xf>
    <xf numFmtId="43" fontId="12" fillId="7" borderId="0" xfId="2" applyFont="1" applyFill="1" applyAlignment="1">
      <alignment vertical="center" wrapText="1"/>
    </xf>
    <xf numFmtId="0" fontId="12" fillId="7" borderId="0" xfId="0" applyFont="1" applyFill="1" applyAlignment="1">
      <alignment vertical="center" wrapText="1"/>
    </xf>
    <xf numFmtId="0" fontId="33" fillId="7" borderId="0" xfId="0" applyFont="1" applyFill="1" applyAlignment="1" applyProtection="1">
      <alignment vertical="center" wrapText="1"/>
      <protection locked="0"/>
    </xf>
    <xf numFmtId="0" fontId="20" fillId="0" borderId="0" xfId="0" applyFont="1"/>
    <xf numFmtId="0" fontId="34" fillId="0" borderId="15" xfId="0" applyFont="1" applyBorder="1" applyAlignment="1">
      <alignment horizontal="center" vertical="top" wrapText="1"/>
    </xf>
    <xf numFmtId="0" fontId="0" fillId="7" borderId="23" xfId="0" applyFill="1" applyBorder="1" applyAlignment="1">
      <alignment vertical="top"/>
    </xf>
    <xf numFmtId="0" fontId="4" fillId="7" borderId="26" xfId="0" applyFont="1" applyFill="1" applyBorder="1" applyAlignment="1">
      <alignment vertical="top" wrapText="1"/>
    </xf>
    <xf numFmtId="0" fontId="19" fillId="7" borderId="0" xfId="0" applyFont="1" applyFill="1" applyAlignment="1">
      <alignment vertical="top" wrapText="1"/>
    </xf>
    <xf numFmtId="0" fontId="0" fillId="7" borderId="22" xfId="0" applyFill="1" applyBorder="1" applyAlignment="1">
      <alignment vertical="top"/>
    </xf>
    <xf numFmtId="0" fontId="4" fillId="7" borderId="23" xfId="0" applyFont="1" applyFill="1" applyBorder="1" applyAlignment="1">
      <alignment vertical="top" wrapText="1"/>
    </xf>
    <xf numFmtId="0" fontId="0" fillId="7" borderId="21" xfId="0" applyFill="1" applyBorder="1" applyAlignment="1">
      <alignment vertical="top"/>
    </xf>
    <xf numFmtId="0" fontId="33" fillId="3" borderId="10" xfId="0" applyFont="1" applyFill="1" applyBorder="1" applyAlignment="1">
      <alignment vertical="center" wrapText="1"/>
    </xf>
    <xf numFmtId="0" fontId="33" fillId="3" borderId="13" xfId="0" applyFont="1" applyFill="1" applyBorder="1" applyAlignment="1">
      <alignment vertical="center" wrapText="1"/>
    </xf>
    <xf numFmtId="0" fontId="37" fillId="7" borderId="32" xfId="0" applyFont="1" applyFill="1" applyBorder="1" applyAlignment="1">
      <alignment vertical="center" wrapText="1"/>
    </xf>
    <xf numFmtId="43" fontId="36" fillId="10" borderId="15" xfId="2" applyFont="1" applyFill="1" applyBorder="1"/>
    <xf numFmtId="43" fontId="23" fillId="7" borderId="15" xfId="2" applyFont="1" applyFill="1" applyBorder="1"/>
    <xf numFmtId="43" fontId="23" fillId="10" borderId="15" xfId="2" applyFont="1" applyFill="1" applyBorder="1"/>
    <xf numFmtId="0" fontId="0" fillId="7" borderId="23" xfId="0" applyFill="1" applyBorder="1" applyAlignment="1">
      <alignment vertical="top" wrapText="1"/>
    </xf>
    <xf numFmtId="0" fontId="6" fillId="7" borderId="15" xfId="0" applyFont="1" applyFill="1" applyBorder="1" applyAlignment="1">
      <alignment vertical="top" wrapText="1"/>
    </xf>
    <xf numFmtId="0" fontId="4" fillId="7" borderId="0" xfId="0" applyFont="1" applyFill="1" applyAlignment="1">
      <alignment vertical="top"/>
    </xf>
    <xf numFmtId="0" fontId="0" fillId="7" borderId="0" xfId="0" applyFill="1" applyAlignment="1">
      <alignment vertical="top"/>
    </xf>
    <xf numFmtId="0" fontId="0" fillId="7" borderId="32" xfId="0" applyFill="1" applyBorder="1" applyAlignment="1">
      <alignment vertical="top" wrapText="1"/>
    </xf>
    <xf numFmtId="0" fontId="35" fillId="7" borderId="0" xfId="0" applyFont="1" applyFill="1"/>
    <xf numFmtId="0" fontId="7" fillId="7" borderId="0" xfId="0" applyFont="1" applyFill="1"/>
    <xf numFmtId="0" fontId="21" fillId="7" borderId="0" xfId="0" applyFont="1" applyFill="1"/>
    <xf numFmtId="43" fontId="23" fillId="0" borderId="15" xfId="2" applyFont="1" applyBorder="1"/>
    <xf numFmtId="0" fontId="36" fillId="0" borderId="15" xfId="0" applyFont="1" applyBorder="1" applyAlignment="1">
      <alignment horizontal="center"/>
    </xf>
    <xf numFmtId="0" fontId="36" fillId="0" borderId="23" xfId="0" applyFont="1" applyBorder="1" applyAlignment="1">
      <alignment horizontal="center"/>
    </xf>
    <xf numFmtId="0" fontId="39" fillId="7" borderId="0" xfId="0" applyFont="1" applyFill="1" applyAlignment="1">
      <alignment vertical="center"/>
    </xf>
    <xf numFmtId="0" fontId="40" fillId="0" borderId="0" xfId="0" applyFont="1"/>
    <xf numFmtId="0" fontId="40" fillId="0" borderId="0" xfId="0" applyFont="1" applyAlignment="1">
      <alignment horizontal="left" vertical="top" wrapText="1"/>
    </xf>
    <xf numFmtId="0" fontId="0" fillId="0" borderId="0" xfId="0" applyAlignment="1">
      <alignment horizontal="left" vertical="top" wrapText="1"/>
    </xf>
    <xf numFmtId="0" fontId="41" fillId="7" borderId="45" xfId="0" applyFont="1" applyFill="1" applyBorder="1"/>
    <xf numFmtId="0" fontId="42" fillId="7" borderId="0" xfId="0" applyFont="1" applyFill="1"/>
    <xf numFmtId="0" fontId="19" fillId="7" borderId="32" xfId="0" applyFont="1" applyFill="1" applyBorder="1"/>
    <xf numFmtId="0" fontId="4" fillId="7" borderId="0" xfId="0" applyFont="1" applyFill="1" applyAlignment="1">
      <alignment vertical="top" wrapText="1"/>
    </xf>
    <xf numFmtId="0" fontId="4" fillId="7" borderId="20" xfId="0" applyFont="1" applyFill="1" applyBorder="1" applyAlignment="1">
      <alignment vertical="top" wrapText="1"/>
    </xf>
    <xf numFmtId="0" fontId="0" fillId="7" borderId="16" xfId="0" applyFill="1" applyBorder="1"/>
    <xf numFmtId="0" fontId="0" fillId="7" borderId="18" xfId="0" applyFill="1" applyBorder="1"/>
    <xf numFmtId="0" fontId="17" fillId="7" borderId="16" xfId="0" applyFont="1" applyFill="1" applyBorder="1" applyAlignment="1">
      <alignment vertical="center" wrapText="1"/>
    </xf>
    <xf numFmtId="0" fontId="37" fillId="7" borderId="32" xfId="0" applyFont="1" applyFill="1" applyBorder="1" applyAlignment="1">
      <alignment vertical="top" wrapText="1"/>
    </xf>
    <xf numFmtId="0" fontId="37" fillId="7" borderId="21" xfId="0" applyFont="1" applyFill="1" applyBorder="1" applyAlignment="1">
      <alignment vertical="center" wrapText="1"/>
    </xf>
    <xf numFmtId="0" fontId="20" fillId="7" borderId="46" xfId="0" applyFont="1" applyFill="1" applyBorder="1" applyAlignment="1">
      <alignment vertical="center" wrapText="1"/>
    </xf>
    <xf numFmtId="2" fontId="44" fillId="4" borderId="58" xfId="0" applyNumberFormat="1" applyFont="1" applyFill="1" applyBorder="1" applyAlignment="1">
      <alignment horizontal="right" vertical="center"/>
    </xf>
    <xf numFmtId="2" fontId="44" fillId="4" borderId="59" xfId="0" applyNumberFormat="1" applyFont="1" applyFill="1" applyBorder="1" applyAlignment="1">
      <alignment horizontal="right" vertical="center"/>
    </xf>
    <xf numFmtId="2" fontId="44" fillId="4" borderId="60" xfId="0" applyNumberFormat="1" applyFont="1" applyFill="1" applyBorder="1" applyAlignment="1">
      <alignment horizontal="right" vertical="center"/>
    </xf>
    <xf numFmtId="2" fontId="20" fillId="7" borderId="32" xfId="0" applyNumberFormat="1" applyFont="1" applyFill="1" applyBorder="1" applyAlignment="1">
      <alignment horizontal="left" vertical="center" wrapText="1"/>
    </xf>
    <xf numFmtId="0" fontId="0" fillId="12" borderId="0" xfId="0" applyFill="1"/>
    <xf numFmtId="0" fontId="11" fillId="0" borderId="0" xfId="0" applyFont="1"/>
    <xf numFmtId="0" fontId="46" fillId="0" borderId="0" xfId="0" applyFont="1" applyAlignment="1">
      <alignment horizontal="left"/>
    </xf>
    <xf numFmtId="0" fontId="47" fillId="0" borderId="0" xfId="0" applyFont="1"/>
    <xf numFmtId="0" fontId="48" fillId="0" borderId="0" xfId="0" applyFont="1" applyAlignment="1">
      <alignment horizontal="left"/>
    </xf>
    <xf numFmtId="0" fontId="31" fillId="0" borderId="0" xfId="0" applyFont="1"/>
    <xf numFmtId="0" fontId="51" fillId="13" borderId="62" xfId="0" applyFont="1" applyFill="1" applyBorder="1" applyAlignment="1">
      <alignment horizontal="center" vertical="center"/>
    </xf>
    <xf numFmtId="0" fontId="52" fillId="14" borderId="60" xfId="0" applyFont="1" applyFill="1" applyBorder="1" applyAlignment="1">
      <alignment horizontal="left" vertical="center"/>
    </xf>
    <xf numFmtId="0" fontId="52" fillId="14" borderId="60" xfId="0" applyFont="1" applyFill="1" applyBorder="1" applyAlignment="1">
      <alignment horizontal="center" vertical="center"/>
    </xf>
    <xf numFmtId="164" fontId="0" fillId="0" borderId="0" xfId="0" applyNumberFormat="1"/>
    <xf numFmtId="0" fontId="52" fillId="15" borderId="60" xfId="0" applyFont="1" applyFill="1" applyBorder="1" applyAlignment="1">
      <alignment horizontal="left" vertical="center"/>
    </xf>
    <xf numFmtId="0" fontId="52" fillId="15" borderId="60" xfId="0" applyFont="1" applyFill="1" applyBorder="1" applyAlignment="1">
      <alignment horizontal="center" vertical="center"/>
    </xf>
    <xf numFmtId="9" fontId="52" fillId="15" borderId="60" xfId="0" applyNumberFormat="1" applyFont="1" applyFill="1" applyBorder="1" applyAlignment="1">
      <alignment horizontal="center" vertical="center"/>
    </xf>
    <xf numFmtId="164" fontId="0" fillId="0" borderId="0" xfId="3" applyNumberFormat="1" applyFont="1"/>
    <xf numFmtId="0" fontId="11" fillId="6" borderId="0" xfId="0" applyFont="1" applyFill="1"/>
    <xf numFmtId="0" fontId="54" fillId="0" borderId="0" xfId="0" applyFont="1"/>
    <xf numFmtId="1" fontId="0" fillId="0" borderId="0" xfId="0" applyNumberFormat="1"/>
    <xf numFmtId="3" fontId="0" fillId="0" borderId="0" xfId="0" applyNumberFormat="1"/>
    <xf numFmtId="0" fontId="36" fillId="0" borderId="15" xfId="0" applyFont="1" applyBorder="1" applyAlignment="1">
      <alignment horizontal="left"/>
    </xf>
    <xf numFmtId="0" fontId="0" fillId="16" borderId="0" xfId="0" applyFill="1"/>
    <xf numFmtId="43" fontId="23" fillId="10" borderId="15" xfId="2" applyFont="1" applyFill="1" applyBorder="1" applyAlignment="1">
      <alignment horizontal="left"/>
    </xf>
    <xf numFmtId="43" fontId="23" fillId="7" borderId="15" xfId="2" applyFont="1" applyFill="1" applyBorder="1" applyAlignment="1">
      <alignment horizontal="left"/>
    </xf>
    <xf numFmtId="43" fontId="36" fillId="10" borderId="15" xfId="2" applyFont="1" applyFill="1" applyBorder="1" applyAlignment="1">
      <alignment horizontal="left"/>
    </xf>
    <xf numFmtId="43" fontId="23" fillId="0" borderId="15" xfId="2" applyFont="1" applyBorder="1" applyAlignment="1">
      <alignment horizontal="left"/>
    </xf>
    <xf numFmtId="0" fontId="51" fillId="13" borderId="69" xfId="0" applyFont="1" applyFill="1" applyBorder="1" applyAlignment="1">
      <alignment horizontal="left" vertical="center"/>
    </xf>
    <xf numFmtId="165" fontId="33" fillId="2" borderId="4" xfId="0" applyNumberFormat="1" applyFont="1" applyFill="1" applyBorder="1" applyAlignment="1">
      <alignment vertical="center" wrapText="1"/>
    </xf>
    <xf numFmtId="0" fontId="17" fillId="7" borderId="16" xfId="0" applyFont="1" applyFill="1" applyBorder="1" applyAlignment="1">
      <alignment horizontal="left" vertical="top" wrapText="1"/>
    </xf>
    <xf numFmtId="0" fontId="17" fillId="7" borderId="46" xfId="0" applyFont="1" applyFill="1" applyBorder="1" applyAlignment="1">
      <alignment horizontal="left" vertical="top" wrapText="1"/>
    </xf>
    <xf numFmtId="0" fontId="6" fillId="7" borderId="46" xfId="0" applyFont="1" applyFill="1" applyBorder="1" applyAlignment="1">
      <alignment horizontal="left" vertical="top" wrapText="1"/>
    </xf>
    <xf numFmtId="0" fontId="6" fillId="7" borderId="24" xfId="0" applyFont="1" applyFill="1" applyBorder="1" applyAlignment="1">
      <alignment horizontal="left" vertical="top" wrapText="1"/>
    </xf>
    <xf numFmtId="0" fontId="17" fillId="7" borderId="24" xfId="0" applyFont="1" applyFill="1" applyBorder="1" applyAlignment="1">
      <alignment horizontal="left" vertical="top" wrapText="1"/>
    </xf>
    <xf numFmtId="0" fontId="31" fillId="6" borderId="15" xfId="0" applyFont="1" applyFill="1" applyBorder="1" applyAlignment="1">
      <alignment horizontal="center"/>
    </xf>
    <xf numFmtId="0" fontId="31" fillId="9" borderId="15" xfId="0" applyFont="1" applyFill="1" applyBorder="1" applyAlignment="1">
      <alignment horizontal="center"/>
    </xf>
    <xf numFmtId="0" fontId="31" fillId="6" borderId="15" xfId="0" applyFont="1" applyFill="1" applyBorder="1" applyAlignment="1">
      <alignment horizontal="center" vertical="center" wrapText="1"/>
    </xf>
    <xf numFmtId="0" fontId="31" fillId="6" borderId="27" xfId="0" applyFont="1" applyFill="1" applyBorder="1" applyAlignment="1">
      <alignment horizontal="center" vertical="center" wrapText="1"/>
    </xf>
    <xf numFmtId="0" fontId="51" fillId="13" borderId="62" xfId="0" applyFont="1" applyFill="1" applyBorder="1" applyAlignment="1">
      <alignment horizontal="left" vertical="center"/>
    </xf>
    <xf numFmtId="0" fontId="2" fillId="7" borderId="0" xfId="0" applyFont="1" applyFill="1"/>
    <xf numFmtId="0" fontId="2" fillId="0" borderId="0" xfId="0" applyFont="1"/>
    <xf numFmtId="0" fontId="1" fillId="7" borderId="0" xfId="0" applyFont="1" applyFill="1" applyAlignment="1" applyProtection="1">
      <alignment vertical="center" wrapText="1"/>
      <protection locked="0"/>
    </xf>
    <xf numFmtId="0" fontId="1" fillId="7" borderId="0" xfId="0" applyFont="1" applyFill="1" applyAlignment="1" applyProtection="1">
      <alignment vertical="top" wrapText="1"/>
      <protection locked="0"/>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14" fontId="1" fillId="2" borderId="7" xfId="0" applyNumberFormat="1" applyFont="1" applyFill="1" applyBorder="1" applyAlignment="1">
      <alignment horizontal="left" vertical="center" wrapText="1"/>
    </xf>
    <xf numFmtId="14" fontId="1" fillId="2" borderId="9" xfId="0" applyNumberFormat="1" applyFont="1" applyFill="1" applyBorder="1" applyAlignment="1">
      <alignment horizontal="left" vertical="center" wrapText="1"/>
    </xf>
    <xf numFmtId="14" fontId="1" fillId="2" borderId="8" xfId="0" applyNumberFormat="1" applyFont="1" applyFill="1" applyBorder="1" applyAlignment="1">
      <alignment horizontal="left" vertical="center" wrapText="1"/>
    </xf>
    <xf numFmtId="0" fontId="1" fillId="3" borderId="8"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2" fillId="6" borderId="12" xfId="0" applyFont="1" applyFill="1" applyBorder="1" applyAlignment="1">
      <alignment horizontal="right" vertical="center"/>
    </xf>
    <xf numFmtId="0" fontId="2" fillId="6" borderId="0" xfId="0" applyFont="1" applyFill="1" applyAlignment="1">
      <alignment horizontal="right" vertical="center"/>
    </xf>
    <xf numFmtId="0" fontId="2" fillId="6" borderId="0" xfId="0" applyFont="1" applyFill="1" applyAlignment="1">
      <alignment horizontal="right"/>
    </xf>
    <xf numFmtId="43" fontId="2" fillId="0" borderId="40" xfId="2" applyFont="1" applyBorder="1" applyAlignment="1">
      <alignment horizontal="center" vertical="center"/>
    </xf>
    <xf numFmtId="43" fontId="2" fillId="0" borderId="15" xfId="2" applyFont="1" applyBorder="1" applyAlignment="1">
      <alignment horizontal="center" vertical="center"/>
    </xf>
    <xf numFmtId="43" fontId="2" fillId="0" borderId="29" xfId="2" applyFont="1" applyBorder="1" applyAlignment="1">
      <alignment horizontal="center" vertical="center"/>
    </xf>
    <xf numFmtId="43" fontId="2" fillId="0" borderId="41" xfId="2" applyFont="1" applyBorder="1" applyAlignment="1">
      <alignment horizontal="center" vertical="center"/>
    </xf>
    <xf numFmtId="43" fontId="2" fillId="0" borderId="30" xfId="2" applyFont="1" applyBorder="1" applyAlignment="1">
      <alignment horizontal="center" vertical="center"/>
    </xf>
    <xf numFmtId="43" fontId="2" fillId="0" borderId="31" xfId="2" applyFont="1" applyBorder="1" applyAlignment="1">
      <alignment horizontal="center" vertical="center"/>
    </xf>
    <xf numFmtId="2" fontId="2" fillId="0" borderId="23" xfId="2" applyNumberFormat="1" applyFont="1" applyBorder="1" applyAlignment="1">
      <alignment horizontal="center" vertical="center"/>
    </xf>
    <xf numFmtId="2" fontId="2" fillId="0" borderId="15" xfId="2" applyNumberFormat="1" applyFont="1" applyBorder="1" applyAlignment="1">
      <alignment horizontal="center" vertical="center"/>
    </xf>
    <xf numFmtId="2" fontId="2" fillId="0" borderId="29" xfId="2" applyNumberFormat="1" applyFont="1" applyBorder="1" applyAlignment="1">
      <alignment horizontal="center" vertical="center"/>
    </xf>
    <xf numFmtId="2" fontId="2" fillId="0" borderId="49" xfId="2" applyNumberFormat="1" applyFont="1" applyBorder="1" applyAlignment="1">
      <alignment horizontal="center" vertical="center"/>
    </xf>
    <xf numFmtId="2" fontId="2" fillId="0" borderId="30" xfId="2" applyNumberFormat="1" applyFont="1" applyBorder="1" applyAlignment="1">
      <alignment horizontal="center" vertical="center"/>
    </xf>
    <xf numFmtId="43" fontId="2" fillId="0" borderId="23" xfId="2" applyFont="1" applyBorder="1" applyAlignment="1">
      <alignment horizontal="center" vertical="center"/>
    </xf>
    <xf numFmtId="43" fontId="2" fillId="0" borderId="49" xfId="2" applyFont="1" applyBorder="1" applyAlignment="1">
      <alignment horizontal="center" vertical="center"/>
    </xf>
    <xf numFmtId="0" fontId="48" fillId="0" borderId="0" xfId="0" applyFont="1"/>
    <xf numFmtId="167" fontId="23" fillId="10" borderId="15" xfId="2" applyNumberFormat="1" applyFont="1" applyFill="1" applyBorder="1"/>
    <xf numFmtId="168" fontId="23" fillId="10" borderId="15" xfId="2" applyNumberFormat="1" applyFont="1" applyFill="1" applyBorder="1"/>
    <xf numFmtId="169" fontId="23" fillId="10" borderId="15" xfId="2" applyNumberFormat="1" applyFont="1" applyFill="1" applyBorder="1"/>
    <xf numFmtId="170" fontId="23" fillId="10" borderId="15" xfId="2" applyNumberFormat="1" applyFont="1" applyFill="1" applyBorder="1"/>
    <xf numFmtId="0" fontId="17" fillId="7" borderId="16" xfId="0" applyFont="1" applyFill="1" applyBorder="1" applyAlignment="1">
      <alignment horizontal="left" vertical="top" wrapText="1"/>
    </xf>
    <xf numFmtId="0" fontId="17" fillId="7" borderId="46" xfId="0" applyFont="1" applyFill="1" applyBorder="1" applyAlignment="1">
      <alignment horizontal="left" vertical="top" wrapText="1"/>
    </xf>
    <xf numFmtId="0" fontId="4" fillId="7" borderId="32" xfId="0" applyFont="1" applyFill="1" applyBorder="1" applyAlignment="1">
      <alignment horizontal="left" vertical="top" wrapText="1"/>
    </xf>
    <xf numFmtId="0" fontId="4" fillId="7" borderId="21" xfId="0" applyFont="1" applyFill="1" applyBorder="1" applyAlignment="1">
      <alignment horizontal="left" vertical="top" wrapText="1"/>
    </xf>
    <xf numFmtId="0" fontId="0" fillId="7" borderId="26" xfId="0" applyFill="1" applyBorder="1" applyAlignment="1">
      <alignment horizontal="left" wrapText="1"/>
    </xf>
    <xf numFmtId="0" fontId="0" fillId="7" borderId="23" xfId="0" applyFill="1" applyBorder="1" applyAlignment="1">
      <alignment horizontal="left" wrapText="1"/>
    </xf>
    <xf numFmtId="0" fontId="6" fillId="7" borderId="16" xfId="0" applyFont="1" applyFill="1" applyBorder="1" applyAlignment="1">
      <alignment horizontal="left" vertical="top" wrapText="1"/>
    </xf>
    <xf numFmtId="0" fontId="6" fillId="7" borderId="46" xfId="0" applyFont="1" applyFill="1" applyBorder="1" applyAlignment="1">
      <alignment horizontal="left" vertical="top" wrapText="1"/>
    </xf>
    <xf numFmtId="0" fontId="6" fillId="7" borderId="24" xfId="0" applyFont="1" applyFill="1" applyBorder="1" applyAlignment="1">
      <alignment horizontal="left" vertical="top" wrapText="1"/>
    </xf>
    <xf numFmtId="0" fontId="6" fillId="7" borderId="45" xfId="0" applyFont="1" applyFill="1" applyBorder="1" applyAlignment="1">
      <alignment horizontal="left" vertical="top" wrapText="1"/>
    </xf>
    <xf numFmtId="0" fontId="6" fillId="7" borderId="25" xfId="0" applyFont="1" applyFill="1" applyBorder="1" applyAlignment="1">
      <alignment horizontal="left" vertical="top" wrapText="1"/>
    </xf>
    <xf numFmtId="0" fontId="28" fillId="6" borderId="16" xfId="0" applyFont="1" applyFill="1" applyBorder="1" applyAlignment="1">
      <alignment horizontal="left" vertical="center" wrapText="1"/>
    </xf>
    <xf numFmtId="0" fontId="28" fillId="6" borderId="17"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11" fillId="7" borderId="24" xfId="0" applyFont="1" applyFill="1" applyBorder="1" applyAlignment="1">
      <alignment horizontal="left" vertical="top"/>
    </xf>
    <xf numFmtId="0" fontId="11" fillId="7" borderId="45" xfId="0" applyFont="1" applyFill="1" applyBorder="1" applyAlignment="1">
      <alignment horizontal="left" vertical="top"/>
    </xf>
    <xf numFmtId="0" fontId="11" fillId="7" borderId="25" xfId="0" applyFont="1" applyFill="1" applyBorder="1" applyAlignment="1">
      <alignment horizontal="left" vertical="top"/>
    </xf>
    <xf numFmtId="0" fontId="28" fillId="6" borderId="22"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1" xfId="0" applyFont="1" applyFill="1" applyBorder="1" applyAlignment="1">
      <alignment horizontal="left" vertical="center" wrapText="1"/>
    </xf>
    <xf numFmtId="0" fontId="13" fillId="8" borderId="22" xfId="0" applyFont="1" applyFill="1" applyBorder="1" applyAlignment="1">
      <alignment horizontal="left"/>
    </xf>
    <xf numFmtId="0" fontId="13" fillId="8" borderId="26" xfId="0" applyFont="1" applyFill="1" applyBorder="1" applyAlignment="1">
      <alignment horizontal="left"/>
    </xf>
    <xf numFmtId="0" fontId="13" fillId="8" borderId="23" xfId="0" applyFont="1" applyFill="1" applyBorder="1" applyAlignment="1">
      <alignment horizontal="left"/>
    </xf>
    <xf numFmtId="0" fontId="28" fillId="6" borderId="23" xfId="0" applyFont="1" applyFill="1" applyBorder="1" applyAlignment="1">
      <alignment horizontal="left" vertical="center" wrapText="1"/>
    </xf>
    <xf numFmtId="0" fontId="17" fillId="7" borderId="24" xfId="0" applyFont="1" applyFill="1" applyBorder="1" applyAlignment="1">
      <alignment horizontal="left" vertical="top" wrapText="1"/>
    </xf>
    <xf numFmtId="0" fontId="17" fillId="7" borderId="45" xfId="0" applyFont="1" applyFill="1" applyBorder="1" applyAlignment="1">
      <alignment horizontal="left" vertical="top" wrapText="1"/>
    </xf>
    <xf numFmtId="0" fontId="6" fillId="5" borderId="22" xfId="0" applyFont="1" applyFill="1" applyBorder="1" applyAlignment="1">
      <alignment horizontal="left" vertical="center" wrapText="1"/>
    </xf>
    <xf numFmtId="0" fontId="6" fillId="5" borderId="26" xfId="0" applyFont="1" applyFill="1" applyBorder="1" applyAlignment="1">
      <alignment horizontal="left" vertical="center" wrapText="1"/>
    </xf>
    <xf numFmtId="0" fontId="6" fillId="5" borderId="23" xfId="0" applyFont="1" applyFill="1" applyBorder="1" applyAlignment="1">
      <alignment horizontal="left" vertical="center" wrapText="1"/>
    </xf>
    <xf numFmtId="0" fontId="1" fillId="3" borderId="15" xfId="0" applyFont="1" applyFill="1" applyBorder="1" applyAlignment="1">
      <alignment vertical="center" wrapText="1"/>
    </xf>
    <xf numFmtId="0" fontId="33" fillId="2" borderId="22" xfId="0" applyFont="1" applyFill="1" applyBorder="1" applyAlignment="1" applyProtection="1">
      <alignment horizontal="left" vertical="center" wrapText="1"/>
      <protection locked="0"/>
    </xf>
    <xf numFmtId="0" fontId="33" fillId="2" borderId="26" xfId="0" applyFont="1" applyFill="1" applyBorder="1" applyAlignment="1" applyProtection="1">
      <alignment horizontal="left" vertical="center" wrapText="1"/>
      <protection locked="0"/>
    </xf>
    <xf numFmtId="0" fontId="33" fillId="2" borderId="23" xfId="0" applyFont="1" applyFill="1" applyBorder="1" applyAlignment="1" applyProtection="1">
      <alignment horizontal="left" vertical="center" wrapText="1"/>
      <protection locked="0"/>
    </xf>
    <xf numFmtId="14" fontId="1" fillId="2" borderId="22" xfId="0" applyNumberFormat="1"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1" fillId="2" borderId="23" xfId="0" applyFont="1" applyFill="1" applyBorder="1" applyAlignment="1" applyProtection="1">
      <alignment horizontal="left" vertical="center" wrapText="1"/>
      <protection locked="0"/>
    </xf>
    <xf numFmtId="0" fontId="33" fillId="3" borderId="16" xfId="0" applyFont="1" applyFill="1" applyBorder="1" applyAlignment="1">
      <alignment horizontal="left" vertical="top" wrapText="1"/>
    </xf>
    <xf numFmtId="0" fontId="33" fillId="3" borderId="18" xfId="0" applyFont="1" applyFill="1" applyBorder="1" applyAlignment="1">
      <alignment horizontal="left" vertical="top" wrapText="1"/>
    </xf>
    <xf numFmtId="0" fontId="33" fillId="3" borderId="19" xfId="0" applyFont="1" applyFill="1" applyBorder="1" applyAlignment="1">
      <alignment horizontal="left" vertical="top" wrapText="1"/>
    </xf>
    <xf numFmtId="0" fontId="33" fillId="3" borderId="21" xfId="0" applyFont="1" applyFill="1" applyBorder="1" applyAlignment="1">
      <alignment horizontal="left" vertical="top" wrapText="1"/>
    </xf>
    <xf numFmtId="0" fontId="1" fillId="7" borderId="22" xfId="0" applyFont="1" applyFill="1" applyBorder="1" applyAlignment="1" applyProtection="1">
      <alignment horizontal="left" vertical="top" wrapText="1"/>
      <protection locked="0"/>
    </xf>
    <xf numFmtId="0" fontId="1" fillId="7" borderId="26" xfId="0" applyFont="1" applyFill="1" applyBorder="1" applyAlignment="1" applyProtection="1">
      <alignment horizontal="left" vertical="top" wrapText="1"/>
      <protection locked="0"/>
    </xf>
    <xf numFmtId="0" fontId="1" fillId="7" borderId="23" xfId="0" applyFont="1" applyFill="1" applyBorder="1" applyAlignment="1" applyProtection="1">
      <alignment horizontal="left" vertical="top" wrapText="1"/>
      <protection locked="0"/>
    </xf>
    <xf numFmtId="0" fontId="1" fillId="3" borderId="15" xfId="0" applyFont="1" applyFill="1" applyBorder="1" applyAlignment="1">
      <alignment horizontal="left" vertical="top" wrapText="1"/>
    </xf>
    <xf numFmtId="0" fontId="1" fillId="2" borderId="22" xfId="0" applyFont="1" applyFill="1" applyBorder="1" applyAlignment="1" applyProtection="1">
      <alignment horizontal="left" vertical="center" wrapText="1"/>
      <protection locked="0"/>
    </xf>
    <xf numFmtId="0" fontId="33" fillId="2" borderId="22" xfId="0" applyFont="1" applyFill="1" applyBorder="1" applyAlignment="1" applyProtection="1">
      <alignment horizontal="left" vertical="top" wrapText="1"/>
      <protection locked="0"/>
    </xf>
    <xf numFmtId="0" fontId="33" fillId="2" borderId="26" xfId="0" applyFont="1" applyFill="1" applyBorder="1" applyAlignment="1" applyProtection="1">
      <alignment horizontal="left" vertical="top" wrapText="1"/>
      <protection locked="0"/>
    </xf>
    <xf numFmtId="0" fontId="33" fillId="2" borderId="23" xfId="0" applyFont="1" applyFill="1" applyBorder="1" applyAlignment="1" applyProtection="1">
      <alignment horizontal="left" vertical="top" wrapText="1"/>
      <protection locked="0"/>
    </xf>
    <xf numFmtId="0" fontId="33" fillId="3" borderId="15" xfId="0" applyFont="1" applyFill="1" applyBorder="1" applyAlignment="1">
      <alignment horizontal="left" vertical="top" wrapText="1"/>
    </xf>
    <xf numFmtId="0" fontId="33" fillId="7" borderId="16" xfId="0" applyFont="1" applyFill="1" applyBorder="1" applyAlignment="1">
      <alignment horizontal="left" vertical="top" wrapText="1"/>
    </xf>
    <xf numFmtId="0" fontId="33" fillId="7" borderId="17" xfId="0" applyFont="1" applyFill="1" applyBorder="1" applyAlignment="1">
      <alignment horizontal="left" vertical="top" wrapText="1"/>
    </xf>
    <xf numFmtId="0" fontId="33" fillId="7" borderId="18" xfId="0" applyFont="1" applyFill="1" applyBorder="1" applyAlignment="1">
      <alignment horizontal="left" vertical="top" wrapText="1"/>
    </xf>
    <xf numFmtId="0" fontId="33" fillId="7" borderId="19" xfId="0" applyFont="1" applyFill="1" applyBorder="1" applyAlignment="1">
      <alignment horizontal="left" vertical="top" wrapText="1"/>
    </xf>
    <xf numFmtId="0" fontId="33" fillId="7" borderId="20" xfId="0" applyFont="1" applyFill="1" applyBorder="1" applyAlignment="1">
      <alignment horizontal="left" vertical="top" wrapText="1"/>
    </xf>
    <xf numFmtId="0" fontId="33" fillId="7" borderId="21" xfId="0" applyFont="1" applyFill="1" applyBorder="1" applyAlignment="1">
      <alignment horizontal="left" vertical="top" wrapText="1"/>
    </xf>
    <xf numFmtId="0" fontId="33" fillId="3" borderId="15" xfId="0" applyFont="1" applyFill="1" applyBorder="1" applyAlignment="1">
      <alignment vertical="center" wrapText="1"/>
    </xf>
    <xf numFmtId="0" fontId="33" fillId="7" borderId="22" xfId="0" applyFont="1" applyFill="1" applyBorder="1" applyAlignment="1" applyProtection="1">
      <alignment horizontal="left" vertical="top" wrapText="1"/>
      <protection locked="0"/>
    </xf>
    <xf numFmtId="0" fontId="33" fillId="7" borderId="26" xfId="0" applyFont="1" applyFill="1" applyBorder="1" applyAlignment="1" applyProtection="1">
      <alignment horizontal="left" vertical="top" wrapText="1"/>
      <protection locked="0"/>
    </xf>
    <xf numFmtId="0" fontId="33" fillId="7" borderId="23" xfId="0" applyFont="1" applyFill="1" applyBorder="1" applyAlignment="1" applyProtection="1">
      <alignment horizontal="left" vertical="top" wrapText="1"/>
      <protection locked="0"/>
    </xf>
    <xf numFmtId="0" fontId="1" fillId="3" borderId="15" xfId="0" applyFont="1" applyFill="1" applyBorder="1" applyAlignment="1">
      <alignment vertical="top" wrapText="1"/>
    </xf>
    <xf numFmtId="0" fontId="1" fillId="2" borderId="16"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31" fillId="6" borderId="15" xfId="0" applyFont="1" applyFill="1" applyBorder="1" applyAlignment="1">
      <alignment horizontal="center"/>
    </xf>
    <xf numFmtId="0" fontId="33" fillId="3" borderId="16" xfId="0" applyFont="1" applyFill="1" applyBorder="1" applyAlignment="1">
      <alignment horizontal="left" vertical="center" wrapText="1"/>
    </xf>
    <xf numFmtId="0" fontId="33" fillId="3" borderId="18" xfId="0" applyFont="1" applyFill="1" applyBorder="1" applyAlignment="1">
      <alignment horizontal="left" vertical="center" wrapText="1"/>
    </xf>
    <xf numFmtId="0" fontId="33" fillId="3" borderId="46" xfId="0" applyFont="1" applyFill="1" applyBorder="1" applyAlignment="1">
      <alignment horizontal="left" vertical="center" wrapText="1"/>
    </xf>
    <xf numFmtId="0" fontId="33" fillId="3" borderId="32" xfId="0" applyFont="1" applyFill="1" applyBorder="1" applyAlignment="1">
      <alignment horizontal="left" vertical="center" wrapText="1"/>
    </xf>
    <xf numFmtId="0" fontId="33" fillId="3" borderId="19" xfId="0" applyFont="1" applyFill="1" applyBorder="1" applyAlignment="1">
      <alignment horizontal="left" vertical="center" wrapText="1"/>
    </xf>
    <xf numFmtId="0" fontId="33" fillId="3" borderId="21" xfId="0" applyFont="1" applyFill="1" applyBorder="1" applyAlignment="1">
      <alignment horizontal="left" vertical="center" wrapText="1"/>
    </xf>
    <xf numFmtId="0" fontId="33" fillId="7" borderId="16" xfId="0" applyFont="1" applyFill="1" applyBorder="1" applyAlignment="1">
      <alignment horizontal="left" vertical="center" wrapText="1"/>
    </xf>
    <xf numFmtId="0" fontId="33" fillId="7" borderId="18" xfId="0" applyFont="1" applyFill="1" applyBorder="1" applyAlignment="1">
      <alignment horizontal="left" vertical="center" wrapText="1"/>
    </xf>
    <xf numFmtId="0" fontId="33" fillId="7" borderId="46" xfId="0" applyFont="1" applyFill="1" applyBorder="1" applyAlignment="1">
      <alignment horizontal="left" vertical="center" wrapText="1"/>
    </xf>
    <xf numFmtId="0" fontId="33" fillId="7" borderId="32" xfId="0" applyFont="1" applyFill="1" applyBorder="1" applyAlignment="1">
      <alignment horizontal="left" vertical="center" wrapText="1"/>
    </xf>
    <xf numFmtId="0" fontId="33" fillId="7" borderId="19" xfId="0" applyFont="1" applyFill="1" applyBorder="1" applyAlignment="1">
      <alignment horizontal="left" vertical="center" wrapText="1"/>
    </xf>
    <xf numFmtId="0" fontId="33" fillId="7" borderId="21" xfId="0" applyFont="1" applyFill="1" applyBorder="1" applyAlignment="1">
      <alignment horizontal="left" vertical="center" wrapText="1"/>
    </xf>
    <xf numFmtId="0" fontId="33" fillId="7" borderId="24" xfId="0" applyFont="1" applyFill="1" applyBorder="1" applyAlignment="1">
      <alignment horizontal="left" vertical="center" wrapText="1"/>
    </xf>
    <xf numFmtId="0" fontId="33" fillId="7" borderId="45" xfId="0" applyFont="1" applyFill="1" applyBorder="1" applyAlignment="1">
      <alignment horizontal="left" vertical="center" wrapText="1"/>
    </xf>
    <xf numFmtId="0" fontId="33" fillId="7" borderId="25" xfId="0" applyFont="1" applyFill="1" applyBorder="1" applyAlignment="1">
      <alignment horizontal="left" vertical="center" wrapText="1"/>
    </xf>
    <xf numFmtId="0" fontId="33" fillId="11" borderId="15" xfId="0" applyFont="1" applyFill="1" applyBorder="1" applyAlignment="1">
      <alignment horizontal="left" vertical="center" wrapText="1"/>
    </xf>
    <xf numFmtId="0" fontId="31" fillId="6" borderId="15" xfId="0" applyFont="1" applyFill="1" applyBorder="1" applyAlignment="1">
      <alignment horizontal="center" vertical="center" wrapText="1"/>
    </xf>
    <xf numFmtId="0" fontId="33" fillId="7" borderId="15" xfId="0" applyFont="1" applyFill="1" applyBorder="1" applyAlignment="1">
      <alignment horizontal="left" vertical="top" wrapText="1"/>
    </xf>
    <xf numFmtId="0" fontId="31" fillId="6" borderId="22"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3" fillId="7" borderId="24" xfId="0" applyFont="1" applyFill="1" applyBorder="1" applyAlignment="1">
      <alignment horizontal="left" vertical="top" wrapText="1"/>
    </xf>
    <xf numFmtId="0" fontId="33" fillId="7" borderId="25" xfId="0" applyFont="1" applyFill="1" applyBorder="1" applyAlignment="1">
      <alignment horizontal="left" vertical="top" wrapText="1"/>
    </xf>
    <xf numFmtId="0" fontId="33" fillId="3" borderId="15" xfId="0" applyFont="1" applyFill="1" applyBorder="1" applyAlignment="1">
      <alignment horizontal="left" vertical="center" wrapText="1"/>
    </xf>
    <xf numFmtId="43" fontId="33" fillId="2" borderId="22" xfId="2" applyFont="1" applyFill="1" applyBorder="1" applyAlignment="1" applyProtection="1">
      <alignment horizontal="left" vertical="center" wrapText="1"/>
      <protection locked="0"/>
    </xf>
    <xf numFmtId="43" fontId="33" fillId="2" borderId="26" xfId="2" applyFont="1" applyFill="1" applyBorder="1" applyAlignment="1" applyProtection="1">
      <alignment horizontal="left" vertical="center" wrapText="1"/>
      <protection locked="0"/>
    </xf>
    <xf numFmtId="43" fontId="33" fillId="2" borderId="23" xfId="2" applyFont="1" applyFill="1" applyBorder="1" applyAlignment="1" applyProtection="1">
      <alignment horizontal="left" vertical="center" wrapText="1"/>
      <protection locked="0"/>
    </xf>
    <xf numFmtId="0" fontId="31" fillId="9" borderId="15" xfId="0" applyFont="1" applyFill="1" applyBorder="1" applyAlignment="1">
      <alignment horizontal="center"/>
    </xf>
    <xf numFmtId="0" fontId="33" fillId="2" borderId="16" xfId="0" applyFont="1" applyFill="1" applyBorder="1" applyAlignment="1" applyProtection="1">
      <alignment horizontal="left" vertical="top" wrapText="1"/>
      <protection locked="0"/>
    </xf>
    <xf numFmtId="0" fontId="33" fillId="2" borderId="17" xfId="0" applyFont="1" applyFill="1" applyBorder="1" applyAlignment="1" applyProtection="1">
      <alignment horizontal="left" vertical="top" wrapText="1"/>
      <protection locked="0"/>
    </xf>
    <xf numFmtId="0" fontId="33" fillId="2" borderId="18" xfId="0" applyFont="1" applyFill="1" applyBorder="1" applyAlignment="1" applyProtection="1">
      <alignment horizontal="left" vertical="top" wrapText="1"/>
      <protection locked="0"/>
    </xf>
    <xf numFmtId="0" fontId="4" fillId="7" borderId="16" xfId="0" applyFont="1" applyFill="1" applyBorder="1" applyAlignment="1">
      <alignment horizontal="right" vertical="top" wrapText="1"/>
    </xf>
    <xf numFmtId="0" fontId="4" fillId="7" borderId="19" xfId="0" applyFont="1" applyFill="1" applyBorder="1" applyAlignment="1">
      <alignment horizontal="right" vertical="top" wrapText="1"/>
    </xf>
    <xf numFmtId="0" fontId="4" fillId="7" borderId="17" xfId="0" applyFont="1" applyFill="1" applyBorder="1" applyAlignment="1">
      <alignment horizontal="left" vertical="top" wrapText="1"/>
    </xf>
    <xf numFmtId="0" fontId="4" fillId="7" borderId="18" xfId="0" applyFont="1" applyFill="1" applyBorder="1" applyAlignment="1">
      <alignment horizontal="left" vertical="top" wrapText="1"/>
    </xf>
    <xf numFmtId="0" fontId="4" fillId="7" borderId="20" xfId="0" applyFont="1" applyFill="1" applyBorder="1" applyAlignment="1">
      <alignment horizontal="left" vertical="top" wrapText="1"/>
    </xf>
    <xf numFmtId="0" fontId="32" fillId="5" borderId="15" xfId="0" applyFont="1" applyFill="1" applyBorder="1" applyAlignment="1">
      <alignment horizontal="left" vertical="center" wrapText="1"/>
    </xf>
    <xf numFmtId="0" fontId="38" fillId="6" borderId="15" xfId="0" applyFont="1" applyFill="1" applyBorder="1" applyAlignment="1">
      <alignment horizontal="left" vertical="center" wrapText="1"/>
    </xf>
    <xf numFmtId="0" fontId="38" fillId="6" borderId="24" xfId="0" applyFont="1" applyFill="1" applyBorder="1" applyAlignment="1">
      <alignment horizontal="left" vertical="center" wrapText="1"/>
    </xf>
    <xf numFmtId="0" fontId="1" fillId="3" borderId="22" xfId="0" applyFont="1" applyFill="1" applyBorder="1" applyAlignment="1">
      <alignment horizontal="left" vertical="top" wrapText="1"/>
    </xf>
    <xf numFmtId="0" fontId="1" fillId="2" borderId="15" xfId="0" applyFont="1" applyFill="1" applyBorder="1" applyAlignment="1" applyProtection="1">
      <alignment horizontal="left" vertical="top" wrapText="1"/>
      <protection locked="0"/>
    </xf>
    <xf numFmtId="0" fontId="43" fillId="3" borderId="16" xfId="0" applyFont="1" applyFill="1" applyBorder="1" applyAlignment="1">
      <alignment horizontal="left" vertical="center" wrapText="1"/>
    </xf>
    <xf numFmtId="0" fontId="43" fillId="3" borderId="18" xfId="0" applyFont="1" applyFill="1" applyBorder="1" applyAlignment="1">
      <alignment horizontal="left" vertical="center" wrapText="1"/>
    </xf>
    <xf numFmtId="0" fontId="43" fillId="3" borderId="19" xfId="0" applyFont="1" applyFill="1" applyBorder="1" applyAlignment="1">
      <alignment horizontal="left" vertical="center" wrapText="1"/>
    </xf>
    <xf numFmtId="0" fontId="43" fillId="3" borderId="21" xfId="0" applyFont="1" applyFill="1" applyBorder="1" applyAlignment="1">
      <alignment horizontal="left" vertical="center" wrapText="1"/>
    </xf>
    <xf numFmtId="0" fontId="31" fillId="6" borderId="15" xfId="0" applyFont="1" applyFill="1" applyBorder="1" applyAlignment="1">
      <alignment horizontal="center" wrapText="1"/>
    </xf>
    <xf numFmtId="0" fontId="1" fillId="3" borderId="16"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46"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1" fillId="0" borderId="15" xfId="0" applyFont="1" applyBorder="1" applyAlignment="1" applyProtection="1">
      <alignment horizontal="left" vertical="top" wrapText="1"/>
      <protection locked="0"/>
    </xf>
    <xf numFmtId="0" fontId="33" fillId="7" borderId="15" xfId="0" applyFont="1" applyFill="1" applyBorder="1" applyAlignment="1">
      <alignment horizontal="center" vertical="top" wrapText="1"/>
    </xf>
    <xf numFmtId="0" fontId="1" fillId="0" borderId="16"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7" borderId="15" xfId="0" applyFont="1" applyFill="1" applyBorder="1" applyAlignment="1">
      <alignment horizontal="left" vertical="top" wrapText="1"/>
    </xf>
    <xf numFmtId="0" fontId="32" fillId="5" borderId="16" xfId="0" applyFont="1" applyFill="1" applyBorder="1" applyAlignment="1">
      <alignment horizontal="left" vertical="top" wrapText="1"/>
    </xf>
    <xf numFmtId="0" fontId="32" fillId="5" borderId="17" xfId="0" applyFont="1" applyFill="1" applyBorder="1" applyAlignment="1">
      <alignment horizontal="left" vertical="top" wrapText="1"/>
    </xf>
    <xf numFmtId="0" fontId="31" fillId="6" borderId="16" xfId="0" applyFont="1" applyFill="1" applyBorder="1" applyAlignment="1">
      <alignment horizontal="center" wrapText="1"/>
    </xf>
    <xf numFmtId="0" fontId="31" fillId="6" borderId="18" xfId="0" applyFont="1" applyFill="1" applyBorder="1" applyAlignment="1">
      <alignment horizontal="center" wrapText="1"/>
    </xf>
    <xf numFmtId="0" fontId="31" fillId="6" borderId="19" xfId="0" applyFont="1" applyFill="1" applyBorder="1" applyAlignment="1">
      <alignment horizontal="center" wrapText="1"/>
    </xf>
    <xf numFmtId="0" fontId="31" fillId="6" borderId="21" xfId="0" applyFont="1" applyFill="1" applyBorder="1" applyAlignment="1">
      <alignment horizontal="center" wrapText="1"/>
    </xf>
    <xf numFmtId="0" fontId="31" fillId="6" borderId="24" xfId="0" applyFont="1" applyFill="1" applyBorder="1" applyAlignment="1">
      <alignment horizontal="center" wrapText="1"/>
    </xf>
    <xf numFmtId="0" fontId="31" fillId="6" borderId="25" xfId="0" applyFont="1" applyFill="1" applyBorder="1" applyAlignment="1">
      <alignment horizontal="center" wrapText="1"/>
    </xf>
    <xf numFmtId="0" fontId="32" fillId="5" borderId="22" xfId="0" applyFont="1" applyFill="1" applyBorder="1" applyAlignment="1">
      <alignment horizontal="left" vertical="center" wrapText="1"/>
    </xf>
    <xf numFmtId="0" fontId="32" fillId="5" borderId="26" xfId="0" applyFont="1" applyFill="1" applyBorder="1" applyAlignment="1">
      <alignment horizontal="left" vertical="center" wrapText="1"/>
    </xf>
    <xf numFmtId="0" fontId="32" fillId="5" borderId="23" xfId="0" applyFont="1" applyFill="1" applyBorder="1" applyAlignment="1">
      <alignment horizontal="left" vertical="center" wrapText="1"/>
    </xf>
    <xf numFmtId="0" fontId="32" fillId="6" borderId="16" xfId="0" applyFont="1" applyFill="1" applyBorder="1" applyAlignment="1">
      <alignment horizontal="center" wrapText="1"/>
    </xf>
    <xf numFmtId="0" fontId="32" fillId="6" borderId="17" xfId="0" applyFont="1" applyFill="1" applyBorder="1" applyAlignment="1">
      <alignment horizontal="center" wrapText="1"/>
    </xf>
    <xf numFmtId="0" fontId="32" fillId="6" borderId="18" xfId="0" applyFont="1" applyFill="1" applyBorder="1" applyAlignment="1">
      <alignment horizontal="center" wrapText="1"/>
    </xf>
    <xf numFmtId="0" fontId="32" fillId="6" borderId="19" xfId="0" applyFont="1" applyFill="1" applyBorder="1" applyAlignment="1">
      <alignment horizontal="center" wrapText="1"/>
    </xf>
    <xf numFmtId="0" fontId="32" fillId="6" borderId="20" xfId="0" applyFont="1" applyFill="1" applyBorder="1" applyAlignment="1">
      <alignment horizontal="center" wrapText="1"/>
    </xf>
    <xf numFmtId="0" fontId="32" fillId="6" borderId="21" xfId="0" applyFont="1" applyFill="1" applyBorder="1" applyAlignment="1">
      <alignment horizontal="center" wrapText="1"/>
    </xf>
    <xf numFmtId="0" fontId="1" fillId="7" borderId="15" xfId="0" applyFont="1" applyFill="1" applyBorder="1" applyAlignment="1">
      <alignment horizontal="center" vertical="top" wrapText="1"/>
    </xf>
    <xf numFmtId="0" fontId="1" fillId="3" borderId="15" xfId="0" applyFont="1" applyFill="1" applyBorder="1" applyAlignment="1">
      <alignment horizontal="left" vertical="center" wrapText="1"/>
    </xf>
    <xf numFmtId="0" fontId="23" fillId="0" borderId="22" xfId="0" applyFont="1" applyBorder="1" applyAlignment="1">
      <alignment horizontal="left" vertical="top" wrapText="1"/>
    </xf>
    <xf numFmtId="0" fontId="23" fillId="0" borderId="26" xfId="0" applyFont="1" applyBorder="1" applyAlignment="1">
      <alignment horizontal="left" vertical="top" wrapText="1"/>
    </xf>
    <xf numFmtId="0" fontId="23" fillId="0" borderId="23" xfId="0" applyFont="1" applyBorder="1" applyAlignment="1">
      <alignment horizontal="left" vertical="top" wrapText="1"/>
    </xf>
    <xf numFmtId="0" fontId="23" fillId="0" borderId="15" xfId="0" applyFont="1" applyBorder="1" applyAlignment="1">
      <alignment horizontal="left" vertical="top" wrapText="1"/>
    </xf>
    <xf numFmtId="0" fontId="34" fillId="0" borderId="15" xfId="0" applyFont="1" applyBorder="1" applyAlignment="1">
      <alignment horizontal="center" vertical="top"/>
    </xf>
    <xf numFmtId="43" fontId="2" fillId="0" borderId="15" xfId="2" applyFont="1" applyBorder="1" applyAlignment="1">
      <alignment horizontal="center"/>
    </xf>
    <xf numFmtId="43" fontId="2" fillId="0" borderId="29" xfId="2" applyFont="1" applyBorder="1" applyAlignment="1">
      <alignment horizontal="center"/>
    </xf>
    <xf numFmtId="0" fontId="23" fillId="0" borderId="50" xfId="0" applyFont="1" applyBorder="1" applyAlignment="1">
      <alignment horizontal="left" vertical="top" wrapText="1"/>
    </xf>
    <xf numFmtId="0" fontId="23" fillId="0" borderId="48" xfId="0" applyFont="1" applyBorder="1" applyAlignment="1">
      <alignment horizontal="left" vertical="top" wrapText="1"/>
    </xf>
    <xf numFmtId="0" fontId="23" fillId="0" borderId="41" xfId="0" applyFont="1" applyBorder="1" applyAlignment="1">
      <alignment horizontal="left" vertical="top"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33" fillId="7" borderId="7" xfId="0" applyFont="1" applyFill="1" applyBorder="1" applyAlignment="1">
      <alignment horizontal="center" vertical="top" wrapText="1"/>
    </xf>
    <xf numFmtId="0" fontId="33" fillId="7" borderId="43" xfId="0" applyFont="1" applyFill="1" applyBorder="1" applyAlignment="1">
      <alignment horizontal="center" vertical="top" wrapText="1"/>
    </xf>
    <xf numFmtId="0" fontId="33" fillId="7" borderId="10" xfId="0" applyFont="1" applyFill="1" applyBorder="1" applyAlignment="1">
      <alignment horizontal="center" vertical="top" wrapText="1"/>
    </xf>
    <xf numFmtId="0" fontId="33" fillId="7" borderId="47" xfId="0" applyFont="1" applyFill="1" applyBorder="1" applyAlignment="1">
      <alignment horizontal="center" vertical="top" wrapText="1"/>
    </xf>
    <xf numFmtId="0" fontId="33" fillId="7" borderId="53" xfId="0" applyFont="1" applyFill="1" applyBorder="1" applyAlignment="1">
      <alignment horizontal="center" vertical="top" wrapText="1"/>
    </xf>
    <xf numFmtId="0" fontId="33" fillId="7" borderId="54" xfId="0" applyFont="1" applyFill="1" applyBorder="1" applyAlignment="1">
      <alignment horizontal="center" vertical="top" wrapText="1"/>
    </xf>
    <xf numFmtId="0" fontId="1" fillId="3" borderId="7"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7" borderId="33" xfId="0" applyFont="1" applyFill="1" applyBorder="1" applyAlignment="1">
      <alignment horizontal="left" vertical="center" wrapText="1"/>
    </xf>
    <xf numFmtId="0" fontId="1" fillId="7" borderId="21" xfId="0" applyFont="1" applyFill="1" applyBorder="1" applyAlignment="1">
      <alignment horizontal="left" vertical="center" wrapText="1"/>
    </xf>
    <xf numFmtId="0" fontId="30" fillId="7" borderId="38" xfId="0" applyFont="1" applyFill="1" applyBorder="1" applyAlignment="1">
      <alignment horizontal="left"/>
    </xf>
    <xf numFmtId="0" fontId="30" fillId="7" borderId="18" xfId="0" applyFont="1" applyFill="1" applyBorder="1" applyAlignment="1">
      <alignment horizontal="left"/>
    </xf>
    <xf numFmtId="0" fontId="33" fillId="3" borderId="4" xfId="0" applyFont="1" applyFill="1" applyBorder="1" applyAlignment="1">
      <alignment horizontal="left" vertical="center" wrapText="1"/>
    </xf>
    <xf numFmtId="0" fontId="33" fillId="3" borderId="44" xfId="0" applyFont="1" applyFill="1" applyBorder="1" applyAlignment="1">
      <alignment horizontal="left" vertical="center" wrapText="1"/>
    </xf>
    <xf numFmtId="0" fontId="23" fillId="0" borderId="39" xfId="0" applyFont="1" applyBorder="1" applyAlignment="1">
      <alignment horizontal="left" vertical="top" wrapText="1"/>
    </xf>
    <xf numFmtId="0" fontId="23" fillId="0" borderId="27" xfId="0" applyFont="1" applyBorder="1" applyAlignment="1">
      <alignment horizontal="left" vertical="top" wrapText="1"/>
    </xf>
    <xf numFmtId="0" fontId="23" fillId="0" borderId="28" xfId="0" applyFont="1" applyBorder="1" applyAlignment="1">
      <alignment horizontal="left" vertical="top" wrapText="1"/>
    </xf>
    <xf numFmtId="0" fontId="23" fillId="0" borderId="73" xfId="0" applyFont="1" applyBorder="1" applyAlignment="1">
      <alignment horizontal="left" vertical="top" wrapText="1"/>
    </xf>
    <xf numFmtId="0" fontId="23" fillId="0" borderId="74" xfId="0" applyFont="1" applyBorder="1" applyAlignment="1">
      <alignment horizontal="left" vertical="top" wrapText="1"/>
    </xf>
    <xf numFmtId="0" fontId="23" fillId="0" borderId="75" xfId="0" applyFont="1" applyBorder="1" applyAlignment="1">
      <alignment horizontal="left" vertical="top" wrapText="1"/>
    </xf>
    <xf numFmtId="0" fontId="23" fillId="0" borderId="33" xfId="0" applyFont="1" applyBorder="1" applyAlignment="1">
      <alignment horizontal="left" vertical="top" wrapText="1"/>
    </xf>
    <xf numFmtId="0" fontId="23" fillId="0" borderId="20" xfId="0" applyFont="1" applyBorder="1" applyAlignment="1">
      <alignment horizontal="left" vertical="top" wrapText="1"/>
    </xf>
    <xf numFmtId="0" fontId="23" fillId="0" borderId="72" xfId="0" applyFont="1" applyBorder="1" applyAlignment="1">
      <alignment horizontal="left" vertical="top" wrapText="1"/>
    </xf>
    <xf numFmtId="0" fontId="1" fillId="2" borderId="7"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8" xfId="0" applyFont="1" applyFill="1" applyBorder="1" applyAlignment="1">
      <alignment horizontal="left" vertical="top" wrapText="1"/>
    </xf>
    <xf numFmtId="0" fontId="31" fillId="6" borderId="27" xfId="0" applyFont="1" applyFill="1" applyBorder="1" applyAlignment="1">
      <alignment horizontal="center" vertical="center" wrapText="1"/>
    </xf>
    <xf numFmtId="0" fontId="31" fillId="6" borderId="28"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0" xfId="0" applyFont="1" applyFill="1" applyAlignment="1">
      <alignment horizontal="left" vertical="center" wrapText="1"/>
    </xf>
    <xf numFmtId="0" fontId="1" fillId="0" borderId="13"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21" xfId="0" applyFont="1" applyBorder="1" applyAlignment="1">
      <alignment horizontal="left" vertical="center" wrapText="1"/>
    </xf>
    <xf numFmtId="0" fontId="1" fillId="0" borderId="38" xfId="0" applyFont="1" applyBorder="1" applyAlignment="1">
      <alignment horizontal="left" vertical="center" wrapText="1"/>
    </xf>
    <xf numFmtId="0" fontId="1" fillId="0" borderId="18" xfId="0" applyFont="1" applyBorder="1" applyAlignment="1">
      <alignment horizontal="left" vertical="center" wrapText="1"/>
    </xf>
    <xf numFmtId="0" fontId="1" fillId="0" borderId="10" xfId="0" applyFont="1" applyBorder="1" applyAlignment="1">
      <alignment horizontal="left" vertical="center" wrapText="1"/>
    </xf>
    <xf numFmtId="0" fontId="1" fillId="0" borderId="47" xfId="0" applyFont="1" applyBorder="1" applyAlignment="1">
      <alignment horizontal="left" vertical="center" wrapText="1"/>
    </xf>
    <xf numFmtId="0" fontId="33" fillId="7" borderId="51" xfId="0" applyFont="1" applyFill="1" applyBorder="1" applyAlignment="1">
      <alignment horizontal="left" vertical="center" wrapText="1"/>
    </xf>
    <xf numFmtId="0" fontId="4" fillId="7" borderId="13" xfId="0" applyFont="1" applyFill="1" applyBorder="1" applyAlignment="1">
      <alignment horizontal="right" vertical="top" wrapText="1"/>
    </xf>
    <xf numFmtId="0" fontId="4" fillId="7" borderId="10" xfId="0" applyFont="1" applyFill="1" applyBorder="1" applyAlignment="1">
      <alignment horizontal="right" vertical="top" wrapText="1"/>
    </xf>
    <xf numFmtId="0" fontId="1" fillId="3" borderId="10" xfId="0" applyFont="1" applyFill="1" applyBorder="1" applyAlignment="1">
      <alignment horizontal="left" vertical="center" wrapText="1"/>
    </xf>
    <xf numFmtId="0" fontId="1" fillId="3" borderId="12" xfId="0" applyFont="1" applyFill="1" applyBorder="1" applyAlignment="1">
      <alignment horizontal="left" vertical="center" wrapText="1"/>
    </xf>
    <xf numFmtId="43" fontId="2" fillId="0" borderId="23" xfId="2" applyFont="1" applyBorder="1" applyAlignment="1">
      <alignment horizontal="center"/>
    </xf>
    <xf numFmtId="2" fontId="2" fillId="0" borderId="15" xfId="2" applyNumberFormat="1" applyFont="1" applyBorder="1" applyAlignment="1">
      <alignment horizontal="right" indent="1"/>
    </xf>
    <xf numFmtId="0" fontId="4" fillId="7" borderId="38" xfId="0" applyFont="1" applyFill="1" applyBorder="1" applyAlignment="1">
      <alignment horizontal="right" vertical="top" wrapText="1"/>
    </xf>
    <xf numFmtId="0" fontId="4" fillId="7" borderId="33" xfId="0" applyFont="1" applyFill="1" applyBorder="1" applyAlignment="1">
      <alignment horizontal="right" vertical="top" wrapText="1"/>
    </xf>
    <xf numFmtId="2" fontId="2" fillId="0" borderId="23" xfId="2" applyNumberFormat="1" applyFont="1" applyBorder="1" applyAlignment="1">
      <alignment horizontal="center"/>
    </xf>
    <xf numFmtId="2" fontId="2" fillId="0" borderId="15" xfId="2" applyNumberFormat="1" applyFont="1" applyBorder="1" applyAlignment="1">
      <alignment horizontal="center"/>
    </xf>
    <xf numFmtId="43" fontId="2" fillId="0" borderId="15" xfId="2" applyFont="1" applyBorder="1" applyAlignment="1">
      <alignment horizontal="right" indent="1"/>
    </xf>
    <xf numFmtId="43" fontId="2" fillId="0" borderId="29" xfId="2" applyFont="1" applyBorder="1" applyAlignment="1">
      <alignment horizontal="right" indent="1"/>
    </xf>
    <xf numFmtId="0" fontId="33" fillId="7" borderId="0" xfId="0" applyFont="1" applyFill="1" applyAlignment="1">
      <alignment horizontal="left" vertical="top" wrapText="1"/>
    </xf>
    <xf numFmtId="0" fontId="33" fillId="7" borderId="32" xfId="0" applyFont="1" applyFill="1" applyBorder="1" applyAlignment="1">
      <alignment horizontal="left" vertical="top" wrapText="1"/>
    </xf>
    <xf numFmtId="166" fontId="2" fillId="0" borderId="15" xfId="2" applyNumberFormat="1" applyFont="1" applyBorder="1" applyAlignment="1">
      <alignment horizontal="center"/>
    </xf>
    <xf numFmtId="166" fontId="2" fillId="0" borderId="29" xfId="2" applyNumberFormat="1" applyFont="1" applyBorder="1" applyAlignment="1">
      <alignment horizontal="center"/>
    </xf>
    <xf numFmtId="43" fontId="2" fillId="0" borderId="23" xfId="2" applyFont="1" applyBorder="1" applyAlignment="1">
      <alignment horizontal="right" indent="1"/>
    </xf>
    <xf numFmtId="0" fontId="33" fillId="7" borderId="12" xfId="0" applyFont="1" applyFill="1" applyBorder="1" applyAlignment="1">
      <alignment horizontal="left" vertical="top" wrapText="1"/>
    </xf>
    <xf numFmtId="0" fontId="33" fillId="7" borderId="47" xfId="0" applyFont="1" applyFill="1" applyBorder="1" applyAlignment="1">
      <alignment horizontal="left" vertical="top" wrapText="1"/>
    </xf>
    <xf numFmtId="166" fontId="2" fillId="0" borderId="23" xfId="2" applyNumberFormat="1" applyFont="1" applyBorder="1" applyAlignment="1">
      <alignment horizontal="center"/>
    </xf>
    <xf numFmtId="0" fontId="31" fillId="6" borderId="7" xfId="0" applyFont="1" applyFill="1" applyBorder="1" applyAlignment="1">
      <alignment horizontal="center" vertical="center" wrapText="1"/>
    </xf>
    <xf numFmtId="0" fontId="31" fillId="6" borderId="43" xfId="0" applyFont="1" applyFill="1" applyBorder="1" applyAlignment="1">
      <alignment horizontal="center" vertical="center" wrapText="1"/>
    </xf>
    <xf numFmtId="0" fontId="1" fillId="7" borderId="7" xfId="0" applyFont="1" applyFill="1" applyBorder="1" applyAlignment="1" applyProtection="1">
      <alignment horizontal="left" vertical="center" wrapText="1"/>
      <protection locked="0"/>
    </xf>
    <xf numFmtId="0" fontId="1" fillId="7" borderId="9" xfId="0" applyFont="1" applyFill="1" applyBorder="1" applyAlignment="1" applyProtection="1">
      <alignment horizontal="left" vertical="center" wrapText="1"/>
      <protection locked="0"/>
    </xf>
    <xf numFmtId="0" fontId="1" fillId="7" borderId="8" xfId="0" applyFont="1" applyFill="1" applyBorder="1" applyAlignment="1" applyProtection="1">
      <alignment horizontal="left" vertical="center" wrapText="1"/>
      <protection locked="0"/>
    </xf>
    <xf numFmtId="0" fontId="31" fillId="6" borderId="70" xfId="0" applyFont="1" applyFill="1" applyBorder="1" applyAlignment="1">
      <alignment horizontal="center" vertical="center" wrapText="1"/>
    </xf>
    <xf numFmtId="0" fontId="31" fillId="6" borderId="71" xfId="0" applyFont="1" applyFill="1" applyBorder="1" applyAlignment="1">
      <alignment horizontal="center" vertical="center" wrapText="1"/>
    </xf>
    <xf numFmtId="2" fontId="33" fillId="2" borderId="18" xfId="2" applyNumberFormat="1" applyFont="1" applyFill="1" applyBorder="1" applyAlignment="1">
      <alignment horizontal="center" vertical="center" wrapText="1"/>
    </xf>
    <xf numFmtId="2" fontId="33" fillId="2" borderId="24" xfId="2" applyNumberFormat="1" applyFont="1" applyFill="1" applyBorder="1" applyAlignment="1">
      <alignment horizontal="center" vertical="center" wrapText="1"/>
    </xf>
    <xf numFmtId="2" fontId="33" fillId="2" borderId="16" xfId="2" applyNumberFormat="1" applyFont="1" applyFill="1" applyBorder="1" applyAlignment="1">
      <alignment horizontal="center" vertical="center" wrapText="1"/>
    </xf>
    <xf numFmtId="2" fontId="33" fillId="2" borderId="42" xfId="2" applyNumberFormat="1" applyFont="1" applyFill="1" applyBorder="1" applyAlignment="1">
      <alignment horizontal="center" vertical="center" wrapText="1"/>
    </xf>
    <xf numFmtId="0" fontId="33" fillId="7" borderId="52" xfId="0" applyFont="1" applyFill="1" applyBorder="1" applyAlignment="1">
      <alignment horizontal="left" vertical="top" wrapText="1"/>
    </xf>
    <xf numFmtId="0" fontId="33" fillId="7" borderId="46" xfId="0" applyFont="1" applyFill="1" applyBorder="1" applyAlignment="1">
      <alignment horizontal="left" vertical="top" wrapText="1"/>
    </xf>
    <xf numFmtId="165" fontId="33" fillId="2" borderId="10" xfId="2" applyNumberFormat="1" applyFont="1" applyFill="1" applyBorder="1" applyAlignment="1">
      <alignment horizontal="left" vertical="center" wrapText="1"/>
    </xf>
    <xf numFmtId="165" fontId="33" fillId="2" borderId="12" xfId="2" applyNumberFormat="1" applyFont="1" applyFill="1" applyBorder="1" applyAlignment="1">
      <alignment horizontal="left" vertical="center" wrapText="1"/>
    </xf>
    <xf numFmtId="165" fontId="33" fillId="2" borderId="11" xfId="2" applyNumberFormat="1" applyFont="1" applyFill="1" applyBorder="1" applyAlignment="1">
      <alignment horizontal="left" vertical="center" wrapText="1"/>
    </xf>
    <xf numFmtId="165" fontId="33" fillId="2" borderId="7" xfId="2" applyNumberFormat="1" applyFont="1" applyFill="1" applyBorder="1" applyAlignment="1">
      <alignment horizontal="left" vertical="center" wrapText="1"/>
    </xf>
    <xf numFmtId="165" fontId="33" fillId="2" borderId="9" xfId="2" applyNumberFormat="1" applyFont="1" applyFill="1" applyBorder="1" applyAlignment="1">
      <alignment horizontal="left" vertical="center" wrapText="1"/>
    </xf>
    <xf numFmtId="165" fontId="33" fillId="2" borderId="8" xfId="2" applyNumberFormat="1" applyFont="1" applyFill="1" applyBorder="1" applyAlignment="1">
      <alignment horizontal="left" vertical="center" wrapText="1"/>
    </xf>
    <xf numFmtId="43" fontId="33" fillId="2" borderId="4" xfId="2" applyFont="1" applyFill="1" applyBorder="1" applyAlignment="1">
      <alignment horizontal="left" vertical="center" wrapText="1"/>
    </xf>
    <xf numFmtId="43" fontId="33" fillId="2" borderId="5" xfId="2" applyFont="1" applyFill="1" applyBorder="1" applyAlignment="1">
      <alignment horizontal="left" vertical="center" wrapText="1"/>
    </xf>
    <xf numFmtId="43" fontId="33" fillId="2" borderId="6" xfId="2" applyFont="1" applyFill="1" applyBorder="1" applyAlignment="1">
      <alignment horizontal="left" vertical="center" wrapText="1"/>
    </xf>
    <xf numFmtId="0" fontId="33" fillId="3" borderId="7" xfId="0" applyFont="1" applyFill="1" applyBorder="1" applyAlignment="1">
      <alignment horizontal="left" vertical="top" wrapText="1"/>
    </xf>
    <xf numFmtId="0" fontId="33" fillId="3" borderId="8" xfId="0" applyFont="1" applyFill="1" applyBorder="1" applyAlignment="1">
      <alignment horizontal="left" vertical="top" wrapText="1"/>
    </xf>
    <xf numFmtId="0" fontId="33" fillId="2" borderId="4"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6" xfId="0" applyFont="1" applyFill="1" applyBorder="1" applyAlignment="1">
      <alignment horizontal="left" vertical="center" wrapText="1"/>
    </xf>
    <xf numFmtId="165" fontId="33" fillId="2" borderId="57" xfId="0" applyNumberFormat="1" applyFont="1" applyFill="1" applyBorder="1" applyAlignment="1">
      <alignment horizontal="center" vertical="center" wrapText="1"/>
    </xf>
    <xf numFmtId="165" fontId="33" fillId="2" borderId="5" xfId="0" applyNumberFormat="1" applyFont="1" applyFill="1" applyBorder="1" applyAlignment="1">
      <alignment horizontal="center" vertical="center" wrapText="1"/>
    </xf>
    <xf numFmtId="165" fontId="33" fillId="2" borderId="6" xfId="0" applyNumberFormat="1" applyFont="1" applyFill="1" applyBorder="1" applyAlignment="1">
      <alignment horizontal="center" vertical="center" wrapText="1"/>
    </xf>
    <xf numFmtId="0" fontId="1" fillId="6" borderId="4" xfId="0" applyFont="1" applyFill="1" applyBorder="1" applyAlignment="1">
      <alignment horizontal="left" vertical="center" wrapText="1"/>
    </xf>
    <xf numFmtId="0" fontId="1" fillId="6" borderId="6" xfId="0" applyFont="1" applyFill="1" applyBorder="1" applyAlignment="1">
      <alignment horizontal="left" vertical="center" wrapText="1"/>
    </xf>
    <xf numFmtId="0" fontId="31" fillId="6" borderId="39" xfId="0" applyFont="1" applyFill="1" applyBorder="1" applyAlignment="1">
      <alignment horizontal="center" vertical="center" wrapText="1"/>
    </xf>
    <xf numFmtId="43" fontId="2" fillId="0" borderId="40" xfId="2" applyFont="1" applyBorder="1" applyAlignment="1">
      <alignment horizontal="center"/>
    </xf>
    <xf numFmtId="0" fontId="33" fillId="7" borderId="7" xfId="0" applyFont="1" applyFill="1" applyBorder="1" applyAlignment="1">
      <alignment horizontal="left" vertical="top" wrapText="1"/>
    </xf>
    <xf numFmtId="0" fontId="33" fillId="7" borderId="9" xfId="0" applyFont="1" applyFill="1" applyBorder="1" applyAlignment="1">
      <alignment horizontal="left" vertical="top" wrapText="1"/>
    </xf>
    <xf numFmtId="0" fontId="33" fillId="7" borderId="13" xfId="0" applyFont="1" applyFill="1" applyBorder="1" applyAlignment="1">
      <alignment horizontal="left" vertical="top" wrapText="1"/>
    </xf>
    <xf numFmtId="0" fontId="33" fillId="7" borderId="38" xfId="0" applyFont="1" applyFill="1" applyBorder="1" applyAlignment="1">
      <alignment horizontal="center" vertical="top" wrapText="1"/>
    </xf>
    <xf numFmtId="0" fontId="33" fillId="7" borderId="17" xfId="0" applyFont="1" applyFill="1" applyBorder="1" applyAlignment="1">
      <alignment horizontal="center" vertical="top" wrapText="1"/>
    </xf>
    <xf numFmtId="0" fontId="33" fillId="7" borderId="56" xfId="0" applyFont="1" applyFill="1" applyBorder="1" applyAlignment="1">
      <alignment horizontal="center" vertical="top" wrapText="1"/>
    </xf>
    <xf numFmtId="0" fontId="33" fillId="7" borderId="12" xfId="0" applyFont="1" applyFill="1" applyBorder="1" applyAlignment="1">
      <alignment horizontal="center" vertical="top" wrapText="1"/>
    </xf>
    <xf numFmtId="0" fontId="33" fillId="7" borderId="11" xfId="0" applyFont="1" applyFill="1" applyBorder="1" applyAlignment="1">
      <alignment horizontal="center" vertical="top" wrapText="1"/>
    </xf>
    <xf numFmtId="0" fontId="32" fillId="5" borderId="4" xfId="0" applyFont="1" applyFill="1" applyBorder="1" applyAlignment="1">
      <alignment vertical="center" wrapText="1"/>
    </xf>
    <xf numFmtId="0" fontId="32" fillId="5" borderId="5" xfId="0" applyFont="1" applyFill="1" applyBorder="1" applyAlignment="1">
      <alignment vertical="center" wrapText="1"/>
    </xf>
    <xf numFmtId="0" fontId="32" fillId="5" borderId="6" xfId="0" applyFont="1" applyFill="1" applyBorder="1" applyAlignment="1">
      <alignment vertical="center" wrapText="1"/>
    </xf>
    <xf numFmtId="2" fontId="33" fillId="2" borderId="23" xfId="2" applyNumberFormat="1" applyFont="1" applyFill="1" applyBorder="1" applyAlignment="1">
      <alignment horizontal="center" vertical="center" wrapText="1"/>
    </xf>
    <xf numFmtId="2" fontId="33" fillId="2" borderId="15" xfId="2" applyNumberFormat="1" applyFont="1" applyFill="1" applyBorder="1" applyAlignment="1">
      <alignment horizontal="center" vertical="center" wrapText="1"/>
    </xf>
    <xf numFmtId="2" fontId="33" fillId="2" borderId="22" xfId="2" applyNumberFormat="1" applyFont="1" applyFill="1" applyBorder="1" applyAlignment="1">
      <alignment horizontal="center" vertical="center" wrapText="1"/>
    </xf>
    <xf numFmtId="2" fontId="33" fillId="2" borderId="29" xfId="2" applyNumberFormat="1" applyFont="1" applyFill="1" applyBorder="1" applyAlignment="1">
      <alignment horizontal="center" vertical="center" wrapText="1"/>
    </xf>
    <xf numFmtId="0" fontId="33" fillId="3" borderId="13" xfId="0" applyFont="1" applyFill="1" applyBorder="1" applyAlignment="1">
      <alignment horizontal="left" vertical="center" wrapText="1"/>
    </xf>
    <xf numFmtId="0" fontId="33" fillId="3" borderId="0" xfId="0" applyFont="1" applyFill="1" applyAlignment="1">
      <alignment horizontal="left" vertical="center" wrapText="1"/>
    </xf>
    <xf numFmtId="0" fontId="56" fillId="17" borderId="1" xfId="0" applyFont="1" applyFill="1" applyBorder="1" applyAlignment="1">
      <alignment vertical="center" wrapText="1"/>
    </xf>
    <xf numFmtId="0" fontId="56" fillId="17" borderId="2" xfId="0" applyFont="1" applyFill="1" applyBorder="1" applyAlignment="1">
      <alignment vertical="center" wrapText="1"/>
    </xf>
    <xf numFmtId="0" fontId="56" fillId="17" borderId="3" xfId="0" applyFont="1" applyFill="1" applyBorder="1" applyAlignment="1">
      <alignment vertical="center" wrapText="1"/>
    </xf>
    <xf numFmtId="0" fontId="1" fillId="3" borderId="4" xfId="0" applyFont="1" applyFill="1" applyBorder="1" applyAlignment="1">
      <alignment vertical="center" wrapText="1"/>
    </xf>
    <xf numFmtId="0" fontId="1" fillId="3" borderId="6" xfId="0" applyFont="1" applyFill="1" applyBorder="1" applyAlignment="1">
      <alignment vertical="center" wrapText="1"/>
    </xf>
    <xf numFmtId="14" fontId="1" fillId="2" borderId="7" xfId="0" applyNumberFormat="1" applyFont="1" applyFill="1" applyBorder="1" applyAlignment="1">
      <alignment horizontal="left" vertical="center" wrapText="1"/>
    </xf>
    <xf numFmtId="14" fontId="1" fillId="2" borderId="9" xfId="0" applyNumberFormat="1" applyFont="1" applyFill="1" applyBorder="1" applyAlignment="1">
      <alignment horizontal="left" vertical="center" wrapText="1"/>
    </xf>
    <xf numFmtId="14" fontId="1" fillId="2" borderId="8" xfId="0" applyNumberFormat="1" applyFont="1" applyFill="1" applyBorder="1" applyAlignment="1">
      <alignment horizontal="left" vertical="center" wrapText="1"/>
    </xf>
    <xf numFmtId="0" fontId="1" fillId="7" borderId="41" xfId="0" applyFont="1" applyFill="1" applyBorder="1" applyAlignment="1">
      <alignment horizontal="left" vertical="top" wrapText="1"/>
    </xf>
    <xf numFmtId="0" fontId="1" fillId="7" borderId="30" xfId="0" applyFont="1" applyFill="1" applyBorder="1" applyAlignment="1">
      <alignment horizontal="left" vertical="top" wrapText="1"/>
    </xf>
    <xf numFmtId="0" fontId="1" fillId="7" borderId="31" xfId="0" applyFont="1" applyFill="1" applyBorder="1" applyAlignment="1">
      <alignment horizontal="left" vertical="top" wrapText="1"/>
    </xf>
    <xf numFmtId="0" fontId="33" fillId="3" borderId="4" xfId="0" applyFont="1" applyFill="1" applyBorder="1" applyAlignment="1">
      <alignment vertical="center" wrapText="1"/>
    </xf>
    <xf numFmtId="0" fontId="33" fillId="3" borderId="6" xfId="0" applyFont="1" applyFill="1" applyBorder="1" applyAlignment="1">
      <alignment vertical="center" wrapText="1"/>
    </xf>
    <xf numFmtId="0" fontId="33" fillId="3" borderId="7" xfId="0" applyFont="1" applyFill="1" applyBorder="1" applyAlignment="1">
      <alignment horizontal="left" vertical="center" wrapText="1"/>
    </xf>
    <xf numFmtId="0" fontId="33" fillId="3" borderId="9" xfId="0" applyFont="1" applyFill="1" applyBorder="1" applyAlignment="1">
      <alignment horizontal="left" vertical="center" wrapText="1"/>
    </xf>
    <xf numFmtId="0" fontId="33" fillId="3" borderId="10" xfId="0" applyFont="1" applyFill="1" applyBorder="1" applyAlignment="1">
      <alignment horizontal="left" vertical="center" wrapText="1"/>
    </xf>
    <xf numFmtId="0" fontId="33" fillId="3" borderId="12" xfId="0" applyFont="1" applyFill="1" applyBorder="1" applyAlignment="1">
      <alignment horizontal="left" vertical="center" wrapText="1"/>
    </xf>
    <xf numFmtId="0" fontId="1" fillId="7" borderId="39" xfId="0" applyFont="1" applyFill="1" applyBorder="1" applyAlignment="1">
      <alignment horizontal="left" vertical="top" wrapText="1"/>
    </xf>
    <xf numFmtId="0" fontId="1" fillId="7" borderId="27" xfId="0" applyFont="1" applyFill="1" applyBorder="1" applyAlignment="1">
      <alignment horizontal="left" vertical="top" wrapText="1"/>
    </xf>
    <xf numFmtId="0" fontId="1" fillId="7" borderId="28" xfId="0" applyFont="1" applyFill="1" applyBorder="1" applyAlignment="1">
      <alignment horizontal="left" vertical="top" wrapText="1"/>
    </xf>
    <xf numFmtId="0" fontId="1" fillId="3" borderId="7" xfId="0" applyFont="1" applyFill="1" applyBorder="1" applyAlignment="1">
      <alignment vertical="top" wrapText="1"/>
    </xf>
    <xf numFmtId="0" fontId="1" fillId="3" borderId="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32" fillId="5" borderId="7" xfId="0" applyFont="1" applyFill="1" applyBorder="1" applyAlignment="1">
      <alignment vertical="center" wrapText="1"/>
    </xf>
    <xf numFmtId="0" fontId="32" fillId="5" borderId="9" xfId="0" applyFont="1" applyFill="1" applyBorder="1" applyAlignment="1">
      <alignment vertical="center" wrapText="1"/>
    </xf>
    <xf numFmtId="0" fontId="32" fillId="5" borderId="8" xfId="0" applyFont="1" applyFill="1" applyBorder="1" applyAlignment="1">
      <alignment vertical="center" wrapText="1"/>
    </xf>
    <xf numFmtId="0" fontId="1" fillId="3" borderId="5" xfId="0" applyFont="1" applyFill="1" applyBorder="1" applyAlignment="1">
      <alignment vertical="center" wrapText="1"/>
    </xf>
    <xf numFmtId="0" fontId="32" fillId="5" borderId="10" xfId="0" applyFont="1" applyFill="1" applyBorder="1" applyAlignment="1">
      <alignment vertical="center" wrapText="1"/>
    </xf>
    <xf numFmtId="0" fontId="32" fillId="5" borderId="12" xfId="0" applyFont="1" applyFill="1" applyBorder="1" applyAlignment="1">
      <alignment vertical="center" wrapText="1"/>
    </xf>
    <xf numFmtId="0" fontId="32" fillId="5" borderId="0" xfId="0" applyFont="1" applyFill="1" applyAlignment="1">
      <alignment vertical="center" wrapText="1"/>
    </xf>
    <xf numFmtId="0" fontId="32" fillId="5" borderId="14" xfId="0" applyFont="1" applyFill="1" applyBorder="1" applyAlignment="1">
      <alignment vertical="center" wrapText="1"/>
    </xf>
    <xf numFmtId="0" fontId="1" fillId="2" borderId="10"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3" borderId="8" xfId="0" applyFont="1" applyFill="1" applyBorder="1" applyAlignment="1">
      <alignment horizontal="left" vertical="center" wrapText="1"/>
    </xf>
    <xf numFmtId="0" fontId="31" fillId="6" borderId="35" xfId="0" applyFont="1" applyFill="1" applyBorder="1" applyAlignment="1">
      <alignment horizontal="center" vertical="center" wrapText="1"/>
    </xf>
    <xf numFmtId="0" fontId="31" fillId="6" borderId="36" xfId="0" applyFont="1" applyFill="1" applyBorder="1" applyAlignment="1">
      <alignment horizontal="center" vertical="center" wrapText="1"/>
    </xf>
    <xf numFmtId="0" fontId="31" fillId="6" borderId="34" xfId="0" applyFont="1" applyFill="1" applyBorder="1" applyAlignment="1">
      <alignment horizontal="center" vertical="center" wrapText="1"/>
    </xf>
    <xf numFmtId="0" fontId="31" fillId="6" borderId="37" xfId="0" applyFont="1" applyFill="1" applyBorder="1" applyAlignment="1">
      <alignment horizontal="center" vertical="center" wrapText="1"/>
    </xf>
    <xf numFmtId="0" fontId="31" fillId="6" borderId="55" xfId="0" applyFont="1" applyFill="1" applyBorder="1" applyAlignment="1">
      <alignment horizontal="center" vertical="center" wrapText="1"/>
    </xf>
    <xf numFmtId="43" fontId="33" fillId="2" borderId="10" xfId="2" applyFont="1" applyFill="1" applyBorder="1" applyAlignment="1">
      <alignment horizontal="left" vertical="center" wrapText="1"/>
    </xf>
    <xf numFmtId="43" fontId="33" fillId="2" borderId="12" xfId="2" applyFont="1" applyFill="1" applyBorder="1" applyAlignment="1">
      <alignment horizontal="left" vertical="center" wrapText="1"/>
    </xf>
    <xf numFmtId="43" fontId="33" fillId="2" borderId="11" xfId="2" applyFont="1" applyFill="1" applyBorder="1" applyAlignment="1">
      <alignment horizontal="left" vertical="center" wrapText="1"/>
    </xf>
    <xf numFmtId="0" fontId="1" fillId="0" borderId="40" xfId="0" applyFont="1" applyBorder="1" applyAlignment="1">
      <alignment horizontal="left" vertical="top" wrapText="1"/>
    </xf>
    <xf numFmtId="0" fontId="1" fillId="0" borderId="15" xfId="0" applyFont="1" applyBorder="1" applyAlignment="1">
      <alignment horizontal="left" vertical="top" wrapText="1"/>
    </xf>
    <xf numFmtId="0" fontId="1" fillId="0" borderId="41" xfId="0" applyFont="1" applyBorder="1" applyAlignment="1">
      <alignment horizontal="left" vertical="top" wrapText="1"/>
    </xf>
    <xf numFmtId="0" fontId="1" fillId="0" borderId="30" xfId="0" applyFont="1" applyBorder="1" applyAlignment="1">
      <alignment horizontal="left" vertical="top" wrapText="1"/>
    </xf>
    <xf numFmtId="0" fontId="1" fillId="7" borderId="30" xfId="0" applyFont="1" applyFill="1" applyBorder="1" applyAlignment="1">
      <alignment horizontal="center" vertical="top" wrapText="1"/>
    </xf>
    <xf numFmtId="0" fontId="0" fillId="0" borderId="0" xfId="0" applyAlignment="1">
      <alignment vertical="center"/>
    </xf>
    <xf numFmtId="0" fontId="51" fillId="13" borderId="61" xfId="0" applyFont="1" applyFill="1" applyBorder="1" applyAlignment="1">
      <alignment horizontal="left" vertical="center"/>
    </xf>
    <xf numFmtId="0" fontId="51" fillId="13" borderId="62" xfId="0" applyFont="1" applyFill="1" applyBorder="1" applyAlignment="1">
      <alignment horizontal="left" vertical="center"/>
    </xf>
    <xf numFmtId="0" fontId="51" fillId="13" borderId="63" xfId="0" applyFont="1" applyFill="1" applyBorder="1" applyAlignment="1">
      <alignment horizontal="left" vertical="center" wrapText="1"/>
    </xf>
    <xf numFmtId="0" fontId="51" fillId="13" borderId="65" xfId="0" applyFont="1" applyFill="1" applyBorder="1" applyAlignment="1">
      <alignment horizontal="left" vertical="center" wrapText="1"/>
    </xf>
    <xf numFmtId="0" fontId="51" fillId="13" borderId="67" xfId="0" applyFont="1" applyFill="1" applyBorder="1" applyAlignment="1">
      <alignment horizontal="left" vertical="center" wrapText="1"/>
    </xf>
    <xf numFmtId="0" fontId="52" fillId="14" borderId="64" xfId="0" applyFont="1" applyFill="1" applyBorder="1" applyAlignment="1">
      <alignment horizontal="center" vertical="center"/>
    </xf>
    <xf numFmtId="0" fontId="52" fillId="14" borderId="66" xfId="0" applyFont="1" applyFill="1" applyBorder="1" applyAlignment="1">
      <alignment horizontal="center" vertical="center"/>
    </xf>
    <xf numFmtId="0" fontId="52" fillId="14" borderId="68" xfId="0" applyFont="1" applyFill="1" applyBorder="1" applyAlignment="1">
      <alignment horizontal="center" vertical="center"/>
    </xf>
  </cellXfs>
  <cellStyles count="4">
    <cellStyle name="Comma" xfId="2" builtinId="3"/>
    <cellStyle name="Hyperlink" xfId="1" builtinId="8"/>
    <cellStyle name="Normal" xfId="0" builtinId="0"/>
    <cellStyle name="Percent" xfId="3" builtinId="5"/>
  </cellStyles>
  <dxfs count="2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lor theme="1" tint="0.499984740745262"/>
      </font>
      <fill>
        <patternFill patternType="none">
          <bgColor auto="1"/>
        </patternFill>
      </fill>
    </dxf>
    <dxf>
      <font>
        <b val="0"/>
        <i/>
        <color auto="1"/>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s>
  <tableStyles count="0" defaultTableStyle="TableStyleMedium9" defaultPivotStyle="PivotStyleMedium7"/>
  <colors>
    <mruColors>
      <color rgb="FF73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25929</xdr:colOff>
      <xdr:row>18</xdr:row>
      <xdr:rowOff>42722</xdr:rowOff>
    </xdr:from>
    <xdr:to>
      <xdr:col>5</xdr:col>
      <xdr:colOff>1312334</xdr:colOff>
      <xdr:row>28</xdr:row>
      <xdr:rowOff>148166</xdr:rowOff>
    </xdr:to>
    <xdr:pic>
      <xdr:nvPicPr>
        <xdr:cNvPr id="3" name="Picture 2" descr="elated image">
          <a:extLst>
            <a:ext uri="{FF2B5EF4-FFF2-40B4-BE49-F238E27FC236}">
              <a16:creationId xmlns:a16="http://schemas.microsoft.com/office/drawing/2014/main" id="{5E23A42B-99B3-40AF-9C6F-2B56557C9E8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b="1470"/>
        <a:stretch/>
      </xdr:blipFill>
      <xdr:spPr bwMode="auto">
        <a:xfrm>
          <a:off x="9540346" y="4032639"/>
          <a:ext cx="1286405" cy="211627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232833</xdr:colOff>
      <xdr:row>0</xdr:row>
      <xdr:rowOff>0</xdr:rowOff>
    </xdr:from>
    <xdr:to>
      <xdr:col>15</xdr:col>
      <xdr:colOff>19367</xdr:colOff>
      <xdr:row>1</xdr:row>
      <xdr:rowOff>156221</xdr:rowOff>
    </xdr:to>
    <xdr:pic>
      <xdr:nvPicPr>
        <xdr:cNvPr id="2" name="Picture 1" descr="Resultado de imagen de ecn part of tno logo">
          <a:extLst>
            <a:ext uri="{FF2B5EF4-FFF2-40B4-BE49-F238E27FC236}">
              <a16:creationId xmlns:a16="http://schemas.microsoft.com/office/drawing/2014/main" id="{656EB75C-2203-41D4-A7D5-92662BD257F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440" t="45298" r="6218" b="38797"/>
        <a:stretch/>
      </xdr:blipFill>
      <xdr:spPr bwMode="auto">
        <a:xfrm>
          <a:off x="10064750" y="0"/>
          <a:ext cx="3130867" cy="420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333375</xdr:colOff>
      <xdr:row>28</xdr:row>
      <xdr:rowOff>57150</xdr:rowOff>
    </xdr:from>
    <xdr:to>
      <xdr:col>24</xdr:col>
      <xdr:colOff>285750</xdr:colOff>
      <xdr:row>52</xdr:row>
      <xdr:rowOff>9525</xdr:rowOff>
    </xdr:to>
    <xdr:pic>
      <xdr:nvPicPr>
        <xdr:cNvPr id="2" name="Picture 1">
          <a:extLst>
            <a:ext uri="{FF2B5EF4-FFF2-40B4-BE49-F238E27FC236}">
              <a16:creationId xmlns:a16="http://schemas.microsoft.com/office/drawing/2014/main" id="{12BFD5CB-E807-411B-A927-04A8D15DB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82350" y="5686425"/>
          <a:ext cx="7496175" cy="475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314325</xdr:colOff>
      <xdr:row>6</xdr:row>
      <xdr:rowOff>0</xdr:rowOff>
    </xdr:from>
    <xdr:to>
      <xdr:col>25</xdr:col>
      <xdr:colOff>266700</xdr:colOff>
      <xdr:row>29</xdr:row>
      <xdr:rowOff>152400</xdr:rowOff>
    </xdr:to>
    <xdr:pic>
      <xdr:nvPicPr>
        <xdr:cNvPr id="3" name="Picture 2">
          <a:extLst>
            <a:ext uri="{FF2B5EF4-FFF2-40B4-BE49-F238E27FC236}">
              <a16:creationId xmlns:a16="http://schemas.microsoft.com/office/drawing/2014/main" id="{0DE4F287-A5F9-47FC-845F-235A2B668D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1228725"/>
          <a:ext cx="7496175" cy="475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171450</xdr:rowOff>
    </xdr:from>
    <xdr:to>
      <xdr:col>8</xdr:col>
      <xdr:colOff>419100</xdr:colOff>
      <xdr:row>63</xdr:row>
      <xdr:rowOff>190500</xdr:rowOff>
    </xdr:to>
    <xdr:pic>
      <xdr:nvPicPr>
        <xdr:cNvPr id="4" name="Picture 3">
          <a:extLst>
            <a:ext uri="{FF2B5EF4-FFF2-40B4-BE49-F238E27FC236}">
              <a16:creationId xmlns:a16="http://schemas.microsoft.com/office/drawing/2014/main" id="{EEB6F32D-3705-48B1-9CB9-E4B243E680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600825"/>
          <a:ext cx="7534275" cy="621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lua\OneDrive%20-%20TNO\FACTSHEETs\Vergisting\Copy%20of%20Vergisting_MonoManure_klein_GreenGas_review%20KS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Data input"/>
      <sheetName val="Factsheet"/>
      <sheetName val="List"/>
      <sheetName val="Calculations"/>
      <sheetName val="Biomass potential_NL"/>
      <sheetName val="ETRI data"/>
      <sheetName val="Sheet2"/>
    </sheetNames>
    <definedNames>
      <definedName name="E37ton20486" sheetId="4"/>
    </definedNames>
    <sheetDataSet>
      <sheetData sheetId="0"/>
      <sheetData sheetId="1"/>
      <sheetData sheetId="2"/>
      <sheetData sheetId="3"/>
      <sheetData sheetId="4"/>
      <sheetData sheetId="5">
        <row r="10">
          <cell r="E10">
            <v>21</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ea.org/statistics/resources/unitconverter/"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30"/>
  <sheetViews>
    <sheetView topLeftCell="A18" zoomScale="80" zoomScaleNormal="80" workbookViewId="0">
      <selection activeCell="Q39" sqref="Q39"/>
    </sheetView>
  </sheetViews>
  <sheetFormatPr defaultColWidth="11" defaultRowHeight="15.75"/>
  <cols>
    <col min="1" max="1" width="11" style="1"/>
    <col min="2" max="2" width="23.875" style="1" customWidth="1"/>
    <col min="3" max="3" width="5.75" style="1" customWidth="1"/>
    <col min="4" max="4" width="77.375" style="1" customWidth="1"/>
    <col min="5" max="5" width="5.75" style="1" customWidth="1"/>
    <col min="6" max="6" width="94.875" style="1" customWidth="1"/>
    <col min="7" max="20" width="11" style="1"/>
    <col min="21" max="21" width="10.875" style="1" customWidth="1"/>
    <col min="22" max="16384" width="11" style="1"/>
  </cols>
  <sheetData>
    <row r="1" spans="1:6" ht="21">
      <c r="A1" s="3" t="s">
        <v>0</v>
      </c>
    </row>
    <row r="3" spans="1:6" ht="15.75" customHeight="1">
      <c r="A3" s="5" t="s">
        <v>1</v>
      </c>
      <c r="B3" s="16" t="s">
        <v>2</v>
      </c>
    </row>
    <row r="4" spans="1:6" ht="15.75" customHeight="1">
      <c r="A4" s="5" t="s">
        <v>1</v>
      </c>
      <c r="B4" s="16" t="s">
        <v>3</v>
      </c>
    </row>
    <row r="5" spans="1:6" ht="15.75" customHeight="1">
      <c r="A5" s="5" t="s">
        <v>1</v>
      </c>
      <c r="B5" s="16" t="s">
        <v>4</v>
      </c>
      <c r="F5" s="39"/>
    </row>
    <row r="6" spans="1:6" ht="15.75" customHeight="1">
      <c r="A6" s="5" t="s">
        <v>1</v>
      </c>
      <c r="B6" s="16" t="s">
        <v>5</v>
      </c>
      <c r="C6" s="4"/>
    </row>
    <row r="7" spans="1:6" ht="15.75" customHeight="1">
      <c r="A7" s="5" t="s">
        <v>1</v>
      </c>
      <c r="B7" s="16" t="s">
        <v>6</v>
      </c>
      <c r="C7" s="4"/>
    </row>
    <row r="8" spans="1:6" ht="15.75" customHeight="1">
      <c r="A8" s="5" t="s">
        <v>1</v>
      </c>
      <c r="B8" s="16" t="s">
        <v>7</v>
      </c>
      <c r="C8" s="4"/>
    </row>
    <row r="9" spans="1:6" ht="15.75" customHeight="1">
      <c r="A9" s="5" t="s">
        <v>1</v>
      </c>
      <c r="B9" s="16" t="s">
        <v>8</v>
      </c>
      <c r="C9" s="4"/>
    </row>
    <row r="10" spans="1:6" ht="15.75" customHeight="1">
      <c r="A10" s="5" t="s">
        <v>1</v>
      </c>
      <c r="B10" s="16" t="s">
        <v>9</v>
      </c>
      <c r="C10" s="4"/>
    </row>
    <row r="11" spans="1:6" ht="21">
      <c r="A11" s="3"/>
      <c r="B11" s="2"/>
      <c r="C11" s="2"/>
    </row>
    <row r="12" spans="1:6" ht="18.75">
      <c r="B12" s="55" t="s">
        <v>10</v>
      </c>
      <c r="C12" s="213" t="s">
        <v>11</v>
      </c>
      <c r="D12" s="214"/>
      <c r="E12" s="213" t="s">
        <v>12</v>
      </c>
      <c r="F12" s="215"/>
    </row>
    <row r="13" spans="1:6" ht="15.75" customHeight="1">
      <c r="B13" s="192" t="s">
        <v>13</v>
      </c>
      <c r="C13" s="36" t="s">
        <v>1</v>
      </c>
      <c r="D13" s="37" t="s">
        <v>14</v>
      </c>
      <c r="E13" s="22" t="s">
        <v>1</v>
      </c>
      <c r="F13" s="25" t="s">
        <v>15</v>
      </c>
    </row>
    <row r="14" spans="1:6" ht="15.75" customHeight="1">
      <c r="B14" s="193"/>
      <c r="C14" s="47"/>
      <c r="D14" s="30"/>
      <c r="E14" s="48" t="s">
        <v>1</v>
      </c>
      <c r="F14" s="54" t="s">
        <v>16</v>
      </c>
    </row>
    <row r="15" spans="1:6" ht="15.75" customHeight="1">
      <c r="B15" s="21" t="s">
        <v>17</v>
      </c>
      <c r="C15" s="11" t="s">
        <v>1</v>
      </c>
      <c r="D15" s="40" t="s">
        <v>18</v>
      </c>
      <c r="E15" s="84"/>
      <c r="F15" s="81"/>
    </row>
    <row r="16" spans="1:6" ht="31.5">
      <c r="B16" s="153" t="s">
        <v>19</v>
      </c>
      <c r="C16" s="36" t="s">
        <v>1</v>
      </c>
      <c r="D16" s="44" t="s">
        <v>20</v>
      </c>
      <c r="E16" s="34" t="s">
        <v>1</v>
      </c>
      <c r="F16" s="85" t="s">
        <v>21</v>
      </c>
    </row>
    <row r="17" spans="2:16" ht="15.75" customHeight="1">
      <c r="B17" s="152" t="s">
        <v>22</v>
      </c>
      <c r="C17" s="36" t="s">
        <v>1</v>
      </c>
      <c r="D17" s="41" t="s">
        <v>23</v>
      </c>
      <c r="E17" s="36" t="s">
        <v>1</v>
      </c>
      <c r="F17" s="18" t="s">
        <v>24</v>
      </c>
    </row>
    <row r="18" spans="2:16" ht="15.75" customHeight="1">
      <c r="B18" s="200" t="s">
        <v>25</v>
      </c>
      <c r="C18" s="11" t="s">
        <v>1</v>
      </c>
      <c r="D18" s="41" t="s">
        <v>26</v>
      </c>
      <c r="E18" s="36" t="s">
        <v>1</v>
      </c>
      <c r="F18" s="18" t="s">
        <v>27</v>
      </c>
    </row>
    <row r="19" spans="2:16" ht="15.75" customHeight="1">
      <c r="B19" s="201"/>
      <c r="C19" s="12"/>
      <c r="D19" s="42"/>
      <c r="E19" s="46"/>
      <c r="F19" s="28"/>
    </row>
    <row r="20" spans="2:16" ht="15.75" customHeight="1">
      <c r="B20" s="201"/>
      <c r="C20" s="20"/>
      <c r="D20" s="43" t="s">
        <v>28</v>
      </c>
      <c r="E20" s="46"/>
      <c r="F20" s="28"/>
    </row>
    <row r="21" spans="2:16" ht="15.75" customHeight="1">
      <c r="B21" s="201"/>
      <c r="C21" s="20" t="s">
        <v>29</v>
      </c>
      <c r="D21" s="42" t="s">
        <v>30</v>
      </c>
      <c r="E21" s="46"/>
      <c r="F21" s="28"/>
    </row>
    <row r="22" spans="2:16" ht="15.75" customHeight="1">
      <c r="B22" s="201"/>
      <c r="C22" s="20" t="s">
        <v>31</v>
      </c>
      <c r="D22" s="42" t="s">
        <v>32</v>
      </c>
      <c r="E22" s="46"/>
      <c r="F22" s="28"/>
    </row>
    <row r="23" spans="2:16" ht="15.75" customHeight="1">
      <c r="B23" s="201"/>
      <c r="C23" s="20" t="s">
        <v>33</v>
      </c>
      <c r="D23" s="42" t="s">
        <v>34</v>
      </c>
      <c r="E23" s="46"/>
      <c r="F23" s="28"/>
    </row>
    <row r="24" spans="2:16" ht="15.75" customHeight="1">
      <c r="B24" s="201"/>
      <c r="C24" s="20" t="s">
        <v>35</v>
      </c>
      <c r="D24" s="42" t="s">
        <v>36</v>
      </c>
      <c r="E24" s="46"/>
      <c r="F24" s="28"/>
    </row>
    <row r="25" spans="2:16" ht="15.75" customHeight="1">
      <c r="B25" s="201"/>
      <c r="C25" s="20" t="s">
        <v>37</v>
      </c>
      <c r="D25" s="42" t="s">
        <v>38</v>
      </c>
      <c r="E25" s="46"/>
      <c r="F25" s="28"/>
    </row>
    <row r="26" spans="2:16" ht="15.75" customHeight="1">
      <c r="B26" s="201"/>
      <c r="C26" s="20" t="s">
        <v>39</v>
      </c>
      <c r="D26" s="42" t="s">
        <v>40</v>
      </c>
      <c r="E26" s="46"/>
      <c r="F26" s="28"/>
    </row>
    <row r="27" spans="2:16" ht="15.75" customHeight="1">
      <c r="B27" s="201"/>
      <c r="C27" s="20" t="s">
        <v>41</v>
      </c>
      <c r="D27" s="42" t="s">
        <v>42</v>
      </c>
      <c r="E27" s="46"/>
      <c r="F27" s="28"/>
    </row>
    <row r="28" spans="2:16" ht="15.75" customHeight="1">
      <c r="B28" s="201"/>
      <c r="C28" s="20" t="s">
        <v>43</v>
      </c>
      <c r="D28" s="42" t="s">
        <v>44</v>
      </c>
      <c r="E28" s="46"/>
      <c r="F28" s="28"/>
    </row>
    <row r="29" spans="2:16" ht="15.75" customHeight="1">
      <c r="B29" s="201"/>
      <c r="C29" s="20" t="s">
        <v>45</v>
      </c>
      <c r="D29" s="42" t="s">
        <v>46</v>
      </c>
      <c r="E29" s="47"/>
      <c r="F29" s="30"/>
    </row>
    <row r="30" spans="2:16" ht="18.75">
      <c r="B30" s="209" t="s">
        <v>47</v>
      </c>
      <c r="C30" s="210"/>
      <c r="D30" s="210"/>
      <c r="E30" s="210"/>
      <c r="F30" s="216"/>
      <c r="G30" s="7"/>
      <c r="H30" s="7"/>
      <c r="I30" s="7"/>
      <c r="J30" s="7"/>
      <c r="K30" s="7"/>
      <c r="L30" s="7"/>
      <c r="M30" s="7"/>
      <c r="N30" s="7"/>
      <c r="O30" s="7"/>
      <c r="P30" s="7"/>
    </row>
    <row r="31" spans="2:16" ht="31.5">
      <c r="B31" s="198" t="s">
        <v>48</v>
      </c>
      <c r="C31" s="36" t="s">
        <v>1</v>
      </c>
      <c r="D31" s="37" t="s">
        <v>49</v>
      </c>
      <c r="E31" s="36" t="s">
        <v>1</v>
      </c>
      <c r="F31" s="18" t="s">
        <v>50</v>
      </c>
    </row>
    <row r="32" spans="2:16" ht="33.75" customHeight="1">
      <c r="B32" s="199"/>
      <c r="C32" s="48"/>
      <c r="D32" s="86"/>
      <c r="E32" s="22" t="s">
        <v>1</v>
      </c>
      <c r="F32" s="19" t="s">
        <v>51</v>
      </c>
    </row>
    <row r="33" spans="2:16">
      <c r="B33" s="217" t="s">
        <v>52</v>
      </c>
      <c r="C33" s="36" t="s">
        <v>1</v>
      </c>
      <c r="D33" s="44" t="s">
        <v>53</v>
      </c>
      <c r="E33" s="36" t="s">
        <v>1</v>
      </c>
      <c r="F33" s="8" t="s">
        <v>54</v>
      </c>
    </row>
    <row r="34" spans="2:16" ht="31.5">
      <c r="B34" s="218"/>
      <c r="C34" s="12"/>
      <c r="D34" s="100"/>
      <c r="E34" s="22" t="s">
        <v>1</v>
      </c>
      <c r="F34" s="9" t="s">
        <v>55</v>
      </c>
    </row>
    <row r="35" spans="2:16">
      <c r="B35" s="150"/>
      <c r="C35" s="12"/>
      <c r="D35" s="100"/>
      <c r="E35" s="13" t="s">
        <v>1</v>
      </c>
      <c r="F35" s="10" t="s">
        <v>56</v>
      </c>
    </row>
    <row r="36" spans="2:16" ht="31.5">
      <c r="B36" s="149" t="s">
        <v>57</v>
      </c>
      <c r="C36" s="36" t="s">
        <v>1</v>
      </c>
      <c r="D36" s="37" t="s">
        <v>58</v>
      </c>
      <c r="E36" s="22" t="s">
        <v>1</v>
      </c>
      <c r="F36" s="9" t="s">
        <v>59</v>
      </c>
    </row>
    <row r="37" spans="2:16">
      <c r="B37" s="150"/>
      <c r="C37" s="48"/>
      <c r="D37" s="52"/>
      <c r="E37" s="13" t="s">
        <v>1</v>
      </c>
      <c r="F37" s="10" t="s">
        <v>60</v>
      </c>
    </row>
    <row r="38" spans="2:16" ht="15.75" customHeight="1">
      <c r="B38" s="217" t="s">
        <v>61</v>
      </c>
      <c r="C38" s="12" t="s">
        <v>1</v>
      </c>
      <c r="D38" s="39" t="s">
        <v>62</v>
      </c>
      <c r="E38" s="12" t="s">
        <v>1</v>
      </c>
      <c r="F38" s="89" t="s">
        <v>63</v>
      </c>
    </row>
    <row r="39" spans="2:16" ht="31.5">
      <c r="B39" s="218"/>
      <c r="C39" s="22" t="s">
        <v>1</v>
      </c>
      <c r="D39" s="83" t="s">
        <v>64</v>
      </c>
      <c r="E39" s="22" t="s">
        <v>1</v>
      </c>
      <c r="F39" s="9" t="s">
        <v>65</v>
      </c>
    </row>
    <row r="40" spans="2:16" ht="34.5" customHeight="1">
      <c r="B40" s="21" t="s">
        <v>66</v>
      </c>
      <c r="C40" s="34" t="s">
        <v>1</v>
      </c>
      <c r="D40" s="82" t="s">
        <v>67</v>
      </c>
      <c r="E40" s="34" t="s">
        <v>1</v>
      </c>
      <c r="F40" s="81" t="s">
        <v>68</v>
      </c>
    </row>
    <row r="41" spans="2:16" ht="31.5">
      <c r="B41" s="51" t="s">
        <v>69</v>
      </c>
      <c r="C41" s="36" t="s">
        <v>1</v>
      </c>
      <c r="D41" s="44" t="s">
        <v>70</v>
      </c>
      <c r="E41" s="113"/>
      <c r="F41" s="114"/>
    </row>
    <row r="42" spans="2:16">
      <c r="B42" s="115" t="s">
        <v>71</v>
      </c>
      <c r="C42" s="11" t="s">
        <v>1</v>
      </c>
      <c r="D42" s="44" t="s">
        <v>72</v>
      </c>
      <c r="E42" s="36" t="s">
        <v>1</v>
      </c>
      <c r="F42" s="8" t="s">
        <v>73</v>
      </c>
    </row>
    <row r="43" spans="2:16">
      <c r="B43" s="192" t="s">
        <v>74</v>
      </c>
      <c r="C43" s="36" t="s">
        <v>1</v>
      </c>
      <c r="D43" s="44" t="s">
        <v>75</v>
      </c>
      <c r="E43" s="36" t="s">
        <v>1</v>
      </c>
      <c r="F43" s="8" t="s">
        <v>76</v>
      </c>
    </row>
    <row r="44" spans="2:16">
      <c r="B44" s="193"/>
      <c r="C44" s="48" t="s">
        <v>1</v>
      </c>
      <c r="D44" s="112" t="s">
        <v>77</v>
      </c>
      <c r="E44" s="48" t="s">
        <v>1</v>
      </c>
      <c r="F44" s="117" t="s">
        <v>78</v>
      </c>
    </row>
    <row r="45" spans="2:16" ht="31.5">
      <c r="B45" s="21" t="s">
        <v>79</v>
      </c>
      <c r="C45" s="22" t="s">
        <v>1</v>
      </c>
      <c r="D45" s="39" t="s">
        <v>80</v>
      </c>
      <c r="E45" s="47"/>
      <c r="F45" s="30"/>
    </row>
    <row r="46" spans="2:16" ht="243" customHeight="1">
      <c r="B46" s="51" t="s">
        <v>81</v>
      </c>
      <c r="C46" s="36" t="s">
        <v>1</v>
      </c>
      <c r="D46" s="44" t="s">
        <v>82</v>
      </c>
      <c r="E46" s="46"/>
      <c r="F46" s="28"/>
      <c r="G46" s="104"/>
    </row>
    <row r="47" spans="2:16" ht="15.75" customHeight="1">
      <c r="B47" s="149" t="s">
        <v>83</v>
      </c>
      <c r="C47" s="11" t="s">
        <v>1</v>
      </c>
      <c r="D47" s="40" t="s">
        <v>84</v>
      </c>
      <c r="E47" s="14" t="s">
        <v>1</v>
      </c>
      <c r="F47" s="49" t="s">
        <v>85</v>
      </c>
      <c r="G47" s="104"/>
    </row>
    <row r="48" spans="2:16" ht="18.75">
      <c r="B48" s="203" t="s">
        <v>86</v>
      </c>
      <c r="C48" s="204"/>
      <c r="D48" s="204"/>
      <c r="E48" s="204"/>
      <c r="F48" s="205"/>
      <c r="G48" s="7"/>
      <c r="H48" s="7"/>
      <c r="I48" s="7"/>
      <c r="J48" s="7"/>
      <c r="K48" s="7"/>
      <c r="L48" s="7"/>
      <c r="M48" s="7"/>
      <c r="N48" s="7"/>
      <c r="O48" s="7"/>
      <c r="P48" s="7"/>
    </row>
    <row r="49" spans="2:16" ht="31.5">
      <c r="B49" s="94" t="s">
        <v>87</v>
      </c>
      <c r="C49" s="36" t="s">
        <v>1</v>
      </c>
      <c r="D49" s="44" t="s">
        <v>88</v>
      </c>
      <c r="E49" s="34" t="s">
        <v>1</v>
      </c>
      <c r="F49" s="93" t="s">
        <v>89</v>
      </c>
    </row>
    <row r="50" spans="2:16" ht="31.5">
      <c r="B50" s="198" t="s">
        <v>90</v>
      </c>
      <c r="C50" s="36" t="s">
        <v>1</v>
      </c>
      <c r="D50" s="23" t="s">
        <v>91</v>
      </c>
      <c r="E50" s="53" t="s">
        <v>1</v>
      </c>
      <c r="F50" s="37" t="s">
        <v>92</v>
      </c>
    </row>
    <row r="51" spans="2:16">
      <c r="B51" s="199"/>
      <c r="C51" s="22" t="s">
        <v>1</v>
      </c>
      <c r="D51" s="194" t="s">
        <v>93</v>
      </c>
      <c r="E51" s="22" t="s">
        <v>1</v>
      </c>
      <c r="F51" s="1" t="s">
        <v>94</v>
      </c>
    </row>
    <row r="52" spans="2:16" ht="33" customHeight="1">
      <c r="B52" s="151"/>
      <c r="C52" s="22"/>
      <c r="D52" s="195"/>
      <c r="E52" s="22" t="s">
        <v>1</v>
      </c>
      <c r="F52" s="116" t="s">
        <v>95</v>
      </c>
    </row>
    <row r="53" spans="2:16" ht="15.75" customHeight="1">
      <c r="B53" s="200" t="s">
        <v>96</v>
      </c>
      <c r="C53" s="11" t="s">
        <v>1</v>
      </c>
      <c r="D53" s="45" t="s">
        <v>97</v>
      </c>
      <c r="E53" s="36" t="s">
        <v>1</v>
      </c>
      <c r="F53" s="8" t="s">
        <v>98</v>
      </c>
    </row>
    <row r="54" spans="2:16">
      <c r="B54" s="201"/>
      <c r="E54" s="12" t="s">
        <v>1</v>
      </c>
      <c r="F54" s="9" t="s">
        <v>99</v>
      </c>
    </row>
    <row r="55" spans="2:16">
      <c r="B55" s="202"/>
      <c r="E55" s="47"/>
      <c r="F55" s="30"/>
    </row>
    <row r="56" spans="2:16" ht="31.5">
      <c r="B56" s="152" t="s">
        <v>100</v>
      </c>
      <c r="C56" s="36" t="s">
        <v>1</v>
      </c>
      <c r="D56" s="44" t="s">
        <v>101</v>
      </c>
      <c r="E56" s="36" t="s">
        <v>1</v>
      </c>
      <c r="F56" s="37" t="s">
        <v>99</v>
      </c>
    </row>
    <row r="57" spans="2:16" ht="15.75" customHeight="1">
      <c r="B57" s="152" t="s">
        <v>102</v>
      </c>
      <c r="C57" s="14" t="s">
        <v>1</v>
      </c>
      <c r="D57" s="49" t="s">
        <v>103</v>
      </c>
      <c r="E57" s="14" t="s">
        <v>1</v>
      </c>
      <c r="F57" s="49" t="s">
        <v>99</v>
      </c>
    </row>
    <row r="58" spans="2:16" ht="18.75">
      <c r="B58" s="209" t="s">
        <v>104</v>
      </c>
      <c r="C58" s="210"/>
      <c r="D58" s="210"/>
      <c r="E58" s="210"/>
      <c r="F58" s="216"/>
      <c r="G58" s="7"/>
      <c r="H58" s="7"/>
      <c r="I58" s="7"/>
      <c r="J58" s="7"/>
      <c r="K58" s="7"/>
      <c r="L58" s="7"/>
      <c r="M58" s="7"/>
      <c r="N58" s="7"/>
      <c r="O58" s="7"/>
      <c r="P58" s="7"/>
    </row>
    <row r="59" spans="2:16" ht="31.5">
      <c r="B59" s="199" t="s">
        <v>105</v>
      </c>
      <c r="C59" s="22" t="s">
        <v>1</v>
      </c>
      <c r="D59" s="42" t="s">
        <v>106</v>
      </c>
      <c r="E59" s="22" t="s">
        <v>1</v>
      </c>
      <c r="F59" s="97" t="s">
        <v>107</v>
      </c>
      <c r="H59" s="95"/>
    </row>
    <row r="60" spans="2:16" ht="50.25">
      <c r="B60" s="199"/>
      <c r="C60" s="22" t="s">
        <v>1</v>
      </c>
      <c r="D60" s="42" t="s">
        <v>108</v>
      </c>
      <c r="E60" s="22" t="s">
        <v>1</v>
      </c>
      <c r="F60" s="97" t="s">
        <v>109</v>
      </c>
      <c r="H60" s="96"/>
    </row>
    <row r="61" spans="2:16" ht="31.5">
      <c r="B61" s="199"/>
      <c r="C61" s="22"/>
      <c r="E61" s="48" t="s">
        <v>1</v>
      </c>
      <c r="F61" s="17" t="s">
        <v>110</v>
      </c>
    </row>
    <row r="62" spans="2:16" ht="18.75">
      <c r="B62" s="209" t="s">
        <v>111</v>
      </c>
      <c r="C62" s="210"/>
      <c r="D62" s="210"/>
      <c r="E62" s="210"/>
      <c r="F62" s="216"/>
      <c r="G62" s="7"/>
      <c r="H62" s="7"/>
      <c r="I62" s="7"/>
      <c r="J62" s="7"/>
      <c r="K62" s="7"/>
      <c r="L62" s="7"/>
      <c r="M62" s="7"/>
      <c r="N62" s="7"/>
      <c r="O62" s="7"/>
      <c r="P62" s="7"/>
    </row>
    <row r="63" spans="2:16" ht="47.25">
      <c r="B63" s="151" t="s">
        <v>112</v>
      </c>
      <c r="C63" s="22" t="s">
        <v>1</v>
      </c>
      <c r="D63" s="111" t="s">
        <v>113</v>
      </c>
      <c r="E63" s="34" t="s">
        <v>1</v>
      </c>
      <c r="F63" s="50" t="s">
        <v>114</v>
      </c>
    </row>
    <row r="64" spans="2:16" ht="15.75" customHeight="1">
      <c r="B64" s="203" t="s">
        <v>115</v>
      </c>
      <c r="C64" s="204"/>
      <c r="D64" s="204"/>
      <c r="E64" s="204"/>
      <c r="F64" s="205"/>
      <c r="G64" s="7"/>
      <c r="H64" s="7"/>
      <c r="I64" s="7"/>
      <c r="J64" s="7"/>
      <c r="K64" s="7"/>
      <c r="L64" s="7"/>
      <c r="M64" s="7"/>
      <c r="N64" s="7"/>
      <c r="O64" s="7"/>
      <c r="P64" s="7"/>
    </row>
    <row r="65" spans="2:16" ht="31.5">
      <c r="B65" s="198" t="s">
        <v>116</v>
      </c>
      <c r="C65" s="36" t="s">
        <v>1</v>
      </c>
      <c r="D65" s="41" t="s">
        <v>117</v>
      </c>
      <c r="E65" s="36" t="s">
        <v>1</v>
      </c>
      <c r="F65" s="18" t="s">
        <v>118</v>
      </c>
    </row>
    <row r="66" spans="2:16" ht="31.5">
      <c r="B66" s="199"/>
      <c r="C66" s="46"/>
      <c r="E66" s="48" t="s">
        <v>1</v>
      </c>
      <c r="F66" s="17" t="s">
        <v>119</v>
      </c>
    </row>
    <row r="67" spans="2:16" ht="15.75" customHeight="1">
      <c r="B67" s="209" t="s">
        <v>120</v>
      </c>
      <c r="C67" s="210"/>
      <c r="D67" s="210"/>
      <c r="E67" s="211"/>
      <c r="F67" s="212"/>
    </row>
    <row r="68" spans="2:16" ht="31.5" customHeight="1">
      <c r="B68" s="34" t="s">
        <v>1</v>
      </c>
      <c r="C68" s="196" t="s">
        <v>121</v>
      </c>
      <c r="D68" s="196"/>
      <c r="E68" s="196"/>
      <c r="F68" s="197"/>
    </row>
    <row r="69" spans="2:16">
      <c r="B69" s="34" t="s">
        <v>1</v>
      </c>
      <c r="C69" s="196" t="s">
        <v>122</v>
      </c>
      <c r="D69" s="196"/>
      <c r="E69" s="196"/>
      <c r="F69" s="197"/>
    </row>
    <row r="70" spans="2:16">
      <c r="B70" s="6"/>
      <c r="C70" s="6"/>
      <c r="D70" s="6"/>
    </row>
    <row r="71" spans="2:16" ht="18.75">
      <c r="B71" s="213" t="s">
        <v>123</v>
      </c>
      <c r="C71" s="214"/>
      <c r="D71" s="215"/>
    </row>
    <row r="72" spans="2:16">
      <c r="B72" s="31" t="s">
        <v>124</v>
      </c>
      <c r="C72" s="27"/>
      <c r="D72" s="8" t="s">
        <v>125</v>
      </c>
    </row>
    <row r="73" spans="2:16" ht="15.75" customHeight="1">
      <c r="B73" s="32" t="s">
        <v>126</v>
      </c>
      <c r="C73" s="26"/>
      <c r="D73" s="19" t="s">
        <v>127</v>
      </c>
    </row>
    <row r="74" spans="2:16">
      <c r="B74" s="32" t="s">
        <v>128</v>
      </c>
      <c r="C74" s="6"/>
      <c r="D74" s="24" t="s">
        <v>129</v>
      </c>
    </row>
    <row r="75" spans="2:16">
      <c r="B75" s="32" t="s">
        <v>130</v>
      </c>
      <c r="C75" s="7"/>
      <c r="D75" s="24" t="s">
        <v>131</v>
      </c>
      <c r="E75" s="7"/>
      <c r="G75" s="7"/>
      <c r="H75" s="7"/>
      <c r="I75" s="7"/>
      <c r="J75" s="7"/>
      <c r="K75" s="7"/>
      <c r="L75" s="7"/>
      <c r="M75" s="7"/>
      <c r="N75" s="7"/>
      <c r="O75" s="7"/>
      <c r="P75" s="7"/>
    </row>
    <row r="76" spans="2:16">
      <c r="B76" s="32" t="s">
        <v>132</v>
      </c>
      <c r="C76" s="6"/>
      <c r="D76" s="24" t="s">
        <v>133</v>
      </c>
    </row>
    <row r="77" spans="2:16">
      <c r="B77" s="32" t="s">
        <v>134</v>
      </c>
      <c r="C77" s="6"/>
      <c r="D77" s="24" t="s">
        <v>135</v>
      </c>
    </row>
    <row r="78" spans="2:16" ht="15.75" customHeight="1">
      <c r="B78" s="32" t="s">
        <v>136</v>
      </c>
      <c r="C78" s="7"/>
      <c r="D78" s="24" t="s">
        <v>137</v>
      </c>
      <c r="E78" s="7"/>
      <c r="F78" s="7"/>
      <c r="G78" s="7"/>
      <c r="H78" s="7"/>
      <c r="I78" s="7"/>
      <c r="J78" s="7"/>
      <c r="K78" s="7"/>
      <c r="L78" s="7"/>
      <c r="M78" s="7"/>
      <c r="N78" s="7"/>
      <c r="O78" s="7"/>
      <c r="P78" s="7"/>
    </row>
    <row r="79" spans="2:16" ht="18.75">
      <c r="B79" s="108" t="s">
        <v>138</v>
      </c>
      <c r="C79" s="109"/>
      <c r="D79" s="110" t="s">
        <v>139</v>
      </c>
    </row>
    <row r="80" spans="2:16">
      <c r="B80" s="33" t="s">
        <v>140</v>
      </c>
      <c r="C80" s="29"/>
      <c r="D80" s="30" t="s">
        <v>141</v>
      </c>
    </row>
    <row r="83" spans="2:4" ht="18.75">
      <c r="B83" s="213" t="s">
        <v>142</v>
      </c>
      <c r="C83" s="214"/>
      <c r="D83" s="215"/>
    </row>
    <row r="84" spans="2:4" ht="15.75" customHeight="1">
      <c r="B84" s="206" t="s">
        <v>143</v>
      </c>
      <c r="C84" s="27"/>
      <c r="D84" s="57" t="s">
        <v>144</v>
      </c>
    </row>
    <row r="85" spans="2:4" ht="15.75" customHeight="1">
      <c r="B85" s="207"/>
      <c r="C85" s="26"/>
      <c r="D85" s="58" t="s">
        <v>145</v>
      </c>
    </row>
    <row r="86" spans="2:4" ht="15.75" customHeight="1">
      <c r="B86" s="207"/>
      <c r="C86" s="6"/>
      <c r="D86" s="58" t="s">
        <v>146</v>
      </c>
    </row>
    <row r="87" spans="2:4" ht="15.75" customHeight="1">
      <c r="B87" s="207"/>
      <c r="C87" s="7"/>
      <c r="D87" s="58" t="s">
        <v>147</v>
      </c>
    </row>
    <row r="88" spans="2:4" ht="15.75" customHeight="1">
      <c r="B88" s="207"/>
      <c r="C88" s="6"/>
      <c r="D88" s="58" t="s">
        <v>148</v>
      </c>
    </row>
    <row r="89" spans="2:4" ht="15.75" customHeight="1">
      <c r="B89" s="207"/>
      <c r="C89" s="6"/>
      <c r="D89" s="58" t="s">
        <v>149</v>
      </c>
    </row>
    <row r="90" spans="2:4" ht="15.75" customHeight="1">
      <c r="B90" s="208"/>
      <c r="C90" s="56"/>
      <c r="D90" s="59" t="s">
        <v>150</v>
      </c>
    </row>
    <row r="91" spans="2:4" ht="31.5">
      <c r="B91" s="60" t="s">
        <v>151</v>
      </c>
      <c r="C91" s="61"/>
      <c r="D91" s="62" t="s">
        <v>152</v>
      </c>
    </row>
    <row r="92" spans="2:4" ht="15.75" customHeight="1">
      <c r="B92" s="33"/>
      <c r="C92" s="63"/>
      <c r="D92" s="64" t="s">
        <v>153</v>
      </c>
    </row>
    <row r="93" spans="2:4" ht="31.5">
      <c r="B93" s="206" t="s">
        <v>154</v>
      </c>
      <c r="C93" s="36" t="s">
        <v>1</v>
      </c>
      <c r="D93" s="62" t="s">
        <v>155</v>
      </c>
    </row>
    <row r="94" spans="2:4" ht="47.25">
      <c r="B94" s="207"/>
      <c r="C94" s="22" t="s">
        <v>1</v>
      </c>
      <c r="D94" s="65" t="s">
        <v>156</v>
      </c>
    </row>
    <row r="95" spans="2:4">
      <c r="B95" s="207"/>
      <c r="C95" s="22"/>
      <c r="D95" s="71"/>
    </row>
    <row r="96" spans="2:4">
      <c r="B96" s="207"/>
      <c r="C96" s="69" t="s">
        <v>157</v>
      </c>
      <c r="D96" s="28"/>
    </row>
    <row r="97" spans="2:4">
      <c r="B97" s="207"/>
      <c r="C97" s="46"/>
      <c r="D97" s="66" t="s">
        <v>158</v>
      </c>
    </row>
    <row r="98" spans="2:4">
      <c r="B98" s="207"/>
      <c r="C98" s="67">
        <v>2010</v>
      </c>
      <c r="D98" s="68">
        <v>92.05</v>
      </c>
    </row>
    <row r="99" spans="2:4">
      <c r="B99" s="207"/>
      <c r="C99" s="67">
        <v>2011</v>
      </c>
      <c r="D99" s="68">
        <v>94.32</v>
      </c>
    </row>
    <row r="100" spans="2:4">
      <c r="B100" s="207"/>
      <c r="C100" s="67">
        <v>2012</v>
      </c>
      <c r="D100" s="68">
        <v>96.99</v>
      </c>
    </row>
    <row r="101" spans="2:4">
      <c r="B101" s="207"/>
      <c r="C101" s="67">
        <v>2013</v>
      </c>
      <c r="D101" s="68">
        <v>99.47</v>
      </c>
    </row>
    <row r="102" spans="2:4">
      <c r="B102" s="207"/>
      <c r="C102" s="67">
        <v>2014</v>
      </c>
      <c r="D102" s="68">
        <v>99.79</v>
      </c>
    </row>
    <row r="103" spans="2:4">
      <c r="B103" s="207"/>
      <c r="C103" s="67">
        <v>2015</v>
      </c>
      <c r="D103" s="68">
        <v>100</v>
      </c>
    </row>
    <row r="104" spans="2:4">
      <c r="B104" s="207"/>
      <c r="C104" s="67">
        <v>2016</v>
      </c>
      <c r="D104" s="68">
        <v>100.11</v>
      </c>
    </row>
    <row r="105" spans="2:4">
      <c r="B105" s="207"/>
      <c r="C105" s="67">
        <v>2017</v>
      </c>
      <c r="D105" s="68">
        <v>101.4</v>
      </c>
    </row>
    <row r="106" spans="2:4">
      <c r="B106" s="207"/>
      <c r="C106" s="118">
        <v>2018</v>
      </c>
      <c r="D106" s="122">
        <f>AVERAGE(Calculations!A3:G3)</f>
        <v>102.60428571428572</v>
      </c>
    </row>
    <row r="107" spans="2:4">
      <c r="B107" s="208"/>
      <c r="C107" s="70" t="s">
        <v>159</v>
      </c>
      <c r="D107" s="30"/>
    </row>
    <row r="128" ht="18" customHeight="1"/>
    <row r="129" ht="18" customHeight="1"/>
    <row r="130" ht="18" customHeight="1"/>
  </sheetData>
  <mergeCells count="25">
    <mergeCell ref="B84:B90"/>
    <mergeCell ref="B93:B107"/>
    <mergeCell ref="B67:F67"/>
    <mergeCell ref="B83:D83"/>
    <mergeCell ref="E12:F12"/>
    <mergeCell ref="B30:F30"/>
    <mergeCell ref="B48:F48"/>
    <mergeCell ref="B58:F58"/>
    <mergeCell ref="B62:F62"/>
    <mergeCell ref="B13:B14"/>
    <mergeCell ref="C12:D12"/>
    <mergeCell ref="B18:B29"/>
    <mergeCell ref="B31:B32"/>
    <mergeCell ref="B33:B34"/>
    <mergeCell ref="B71:D71"/>
    <mergeCell ref="B38:B39"/>
    <mergeCell ref="B43:B44"/>
    <mergeCell ref="D51:D52"/>
    <mergeCell ref="C68:F68"/>
    <mergeCell ref="C69:F69"/>
    <mergeCell ref="B65:B66"/>
    <mergeCell ref="B59:B61"/>
    <mergeCell ref="B50:B51"/>
    <mergeCell ref="B53:B55"/>
    <mergeCell ref="B64:F64"/>
  </mergeCells>
  <hyperlinks>
    <hyperlink ref="D92" r:id="rId1" xr:uid="{0E8AA294-E174-41CC-9FC6-3843EBAB9DBB}"/>
  </hyperlinks>
  <pageMargins left="0.7" right="0.7" top="0.75" bottom="0.75" header="0.3" footer="0.3"/>
  <pageSetup paperSize="9" scale="47" orientation="portrait" r:id="rId2"/>
  <colBreaks count="1" manualBreakCount="1">
    <brk id="4" max="92"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A44BC-2064-4B7D-B4E4-F0CF2B0F0B47}">
  <sheetPr>
    <tabColor theme="7" tint="0.59999389629810485"/>
    <pageSetUpPr fitToPage="1"/>
  </sheetPr>
  <dimension ref="A1:BA93"/>
  <sheetViews>
    <sheetView topLeftCell="A33" zoomScale="80" zoomScaleNormal="80" workbookViewId="0">
      <selection activeCell="Q39" sqref="Q39"/>
    </sheetView>
  </sheetViews>
  <sheetFormatPr defaultColWidth="11" defaultRowHeight="15"/>
  <cols>
    <col min="1" max="1" width="4.5" style="72" customWidth="1"/>
    <col min="2" max="2" width="11" style="72"/>
    <col min="3" max="3" width="24.75" style="72" customWidth="1"/>
    <col min="4" max="5" width="12.5" style="72" customWidth="1"/>
    <col min="6" max="6" width="18.5" style="72" customWidth="1"/>
    <col min="7" max="21" width="12.5" style="72" customWidth="1"/>
    <col min="22" max="51" width="11" style="72"/>
    <col min="52" max="52" width="101.375" style="105" hidden="1" customWidth="1"/>
    <col min="53" max="53" width="182" style="105" hidden="1" customWidth="1"/>
    <col min="54" max="16384" width="11" style="72"/>
  </cols>
  <sheetData>
    <row r="1" spans="1:52" ht="21">
      <c r="A1" s="3" t="s">
        <v>160</v>
      </c>
      <c r="B1" s="159"/>
      <c r="C1" s="159"/>
      <c r="D1" s="98"/>
      <c r="E1" s="159"/>
      <c r="F1" s="159"/>
      <c r="G1" s="159"/>
      <c r="H1" s="159"/>
      <c r="I1" s="159"/>
      <c r="J1" s="159"/>
      <c r="K1" s="159"/>
      <c r="L1" s="159"/>
      <c r="M1" s="159"/>
      <c r="N1" s="159"/>
      <c r="O1" s="159"/>
      <c r="P1" s="159"/>
      <c r="Q1" s="159"/>
      <c r="R1" s="159"/>
      <c r="S1" s="159"/>
      <c r="T1" s="159"/>
      <c r="U1" s="159"/>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row>
    <row r="2" spans="1:52">
      <c r="A2" s="98" t="s">
        <v>161</v>
      </c>
      <c r="B2" s="159"/>
      <c r="C2" s="159"/>
      <c r="D2" s="98"/>
      <c r="E2" s="159"/>
      <c r="F2" s="159"/>
      <c r="G2" s="159"/>
      <c r="H2" s="159"/>
      <c r="I2" s="159"/>
      <c r="J2" s="159"/>
      <c r="K2" s="159"/>
      <c r="L2" s="159"/>
      <c r="M2" s="159"/>
      <c r="N2" s="159"/>
      <c r="O2" s="159"/>
      <c r="P2" s="159"/>
      <c r="Q2" s="159"/>
      <c r="R2" s="159"/>
      <c r="S2" s="159"/>
      <c r="T2" s="159"/>
      <c r="U2" s="159"/>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row>
    <row r="3" spans="1:52">
      <c r="A3" s="159"/>
      <c r="B3" s="159"/>
      <c r="C3" s="159"/>
      <c r="D3" s="159"/>
      <c r="E3" s="159"/>
      <c r="F3" s="159"/>
      <c r="G3" s="159"/>
      <c r="H3" s="159"/>
      <c r="I3" s="159"/>
      <c r="J3" s="159"/>
      <c r="K3" s="159"/>
      <c r="L3" s="159"/>
      <c r="M3" s="159"/>
      <c r="N3" s="159"/>
      <c r="O3" s="159"/>
      <c r="P3" s="159"/>
      <c r="Q3" s="159"/>
      <c r="R3" s="159"/>
      <c r="S3" s="159"/>
      <c r="T3" s="159"/>
      <c r="U3" s="159"/>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row>
    <row r="4" spans="1:52" ht="21" customHeight="1">
      <c r="A4" s="159"/>
      <c r="B4" s="219" t="s">
        <v>162</v>
      </c>
      <c r="C4" s="220"/>
      <c r="D4" s="220"/>
      <c r="E4" s="220"/>
      <c r="F4" s="220"/>
      <c r="G4" s="220"/>
      <c r="H4" s="220"/>
      <c r="I4" s="220"/>
      <c r="J4" s="220"/>
      <c r="K4" s="221"/>
      <c r="L4" s="74"/>
      <c r="M4" s="74"/>
      <c r="N4" s="74"/>
      <c r="O4" s="74"/>
      <c r="P4" s="159"/>
      <c r="Q4" s="159"/>
      <c r="R4" s="159"/>
      <c r="S4" s="159"/>
      <c r="T4" s="159"/>
      <c r="U4" s="159"/>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row>
    <row r="5" spans="1:52" ht="15.75" customHeight="1">
      <c r="A5" s="159"/>
      <c r="B5" s="222" t="s">
        <v>163</v>
      </c>
      <c r="C5" s="222"/>
      <c r="D5" s="223" t="s">
        <v>164</v>
      </c>
      <c r="E5" s="224"/>
      <c r="F5" s="224"/>
      <c r="G5" s="224"/>
      <c r="H5" s="224"/>
      <c r="I5" s="224"/>
      <c r="J5" s="224"/>
      <c r="K5" s="225"/>
      <c r="L5" s="161"/>
      <c r="M5" s="161"/>
      <c r="N5" s="161"/>
      <c r="O5" s="161"/>
      <c r="P5" s="159"/>
      <c r="Q5" s="159"/>
      <c r="R5" s="159"/>
      <c r="S5" s="159"/>
      <c r="T5" s="159"/>
      <c r="U5" s="159"/>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row>
    <row r="6" spans="1:52" ht="15.75" customHeight="1">
      <c r="A6" s="159"/>
      <c r="B6" s="222" t="s">
        <v>165</v>
      </c>
      <c r="C6" s="222"/>
      <c r="D6" s="226">
        <v>43346</v>
      </c>
      <c r="E6" s="227"/>
      <c r="F6" s="227"/>
      <c r="G6" s="227"/>
      <c r="H6" s="227"/>
      <c r="I6" s="227"/>
      <c r="J6" s="227"/>
      <c r="K6" s="228"/>
      <c r="L6" s="161"/>
      <c r="M6" s="161"/>
      <c r="N6" s="161"/>
      <c r="O6" s="161"/>
      <c r="P6" s="159"/>
      <c r="Q6" s="159"/>
      <c r="R6" s="159"/>
      <c r="S6" s="159"/>
      <c r="T6" s="159"/>
      <c r="U6" s="159"/>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1:52">
      <c r="A7" s="159"/>
      <c r="B7" s="229" t="s">
        <v>13</v>
      </c>
      <c r="C7" s="230"/>
      <c r="D7" s="233" t="s">
        <v>166</v>
      </c>
      <c r="E7" s="234"/>
      <c r="F7" s="234"/>
      <c r="G7" s="234"/>
      <c r="H7" s="234"/>
      <c r="I7" s="234"/>
      <c r="J7" s="234"/>
      <c r="K7" s="235"/>
      <c r="L7" s="162"/>
      <c r="M7" s="162"/>
      <c r="N7" s="162"/>
      <c r="O7" s="162"/>
      <c r="P7" s="159"/>
      <c r="Q7" s="159"/>
      <c r="R7" s="159"/>
      <c r="S7" s="159"/>
      <c r="T7" s="159"/>
      <c r="U7" s="159"/>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row>
    <row r="8" spans="1:52" ht="15.75" customHeight="1">
      <c r="A8" s="159"/>
      <c r="B8" s="231"/>
      <c r="C8" s="232"/>
      <c r="D8" s="233" t="s">
        <v>167</v>
      </c>
      <c r="E8" s="234"/>
      <c r="F8" s="234"/>
      <c r="G8" s="234"/>
      <c r="H8" s="234"/>
      <c r="I8" s="234"/>
      <c r="J8" s="234"/>
      <c r="K8" s="235"/>
      <c r="L8" s="162"/>
      <c r="M8" s="162"/>
      <c r="N8" s="162"/>
      <c r="O8" s="162"/>
      <c r="P8" s="159"/>
      <c r="Q8" s="159"/>
      <c r="R8" s="159"/>
      <c r="S8" s="159"/>
      <c r="T8" s="159"/>
      <c r="U8" s="159"/>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row>
    <row r="9" spans="1:52" ht="15.75" customHeight="1">
      <c r="A9" s="159"/>
      <c r="B9" s="248" t="s">
        <v>17</v>
      </c>
      <c r="C9" s="248"/>
      <c r="D9" s="249" t="s">
        <v>168</v>
      </c>
      <c r="E9" s="250"/>
      <c r="F9" s="250"/>
      <c r="G9" s="250"/>
      <c r="H9" s="250"/>
      <c r="I9" s="250"/>
      <c r="J9" s="250"/>
      <c r="K9" s="251"/>
      <c r="L9" s="73"/>
      <c r="M9" s="73"/>
      <c r="N9" s="73"/>
      <c r="O9" s="73"/>
      <c r="P9" s="159"/>
      <c r="Q9" s="159"/>
      <c r="R9" s="159"/>
      <c r="S9" s="159"/>
      <c r="T9" s="159"/>
      <c r="U9" s="159"/>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row>
    <row r="10" spans="1:52" ht="15.75" customHeight="1">
      <c r="A10" s="159"/>
      <c r="B10" s="248" t="s">
        <v>19</v>
      </c>
      <c r="C10" s="248"/>
      <c r="D10" s="249" t="s">
        <v>169</v>
      </c>
      <c r="E10" s="250"/>
      <c r="F10" s="250"/>
      <c r="G10" s="250"/>
      <c r="H10" s="250"/>
      <c r="I10" s="250"/>
      <c r="J10" s="250"/>
      <c r="K10" s="251"/>
      <c r="L10" s="161"/>
      <c r="M10" s="161"/>
      <c r="N10" s="161"/>
      <c r="O10" s="161"/>
      <c r="P10" s="159"/>
      <c r="Q10" s="159"/>
      <c r="R10" s="159"/>
      <c r="S10" s="159"/>
      <c r="T10" s="159"/>
      <c r="U10" s="159"/>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row>
    <row r="11" spans="1:52" ht="64.5" customHeight="1">
      <c r="A11" s="159"/>
      <c r="B11" s="252" t="s">
        <v>22</v>
      </c>
      <c r="C11" s="252"/>
      <c r="D11" s="253" t="s">
        <v>170</v>
      </c>
      <c r="E11" s="254"/>
      <c r="F11" s="254"/>
      <c r="G11" s="254"/>
      <c r="H11" s="254"/>
      <c r="I11" s="254"/>
      <c r="J11" s="254"/>
      <c r="K11" s="255"/>
      <c r="L11" s="162"/>
      <c r="M11" s="162"/>
      <c r="N11" s="162"/>
      <c r="O11" s="162"/>
      <c r="P11" s="159"/>
      <c r="Q11" s="159"/>
      <c r="R11" s="159"/>
      <c r="S11" s="159"/>
      <c r="T11" s="159"/>
      <c r="U11" s="159"/>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06" t="str">
        <f>D11</f>
        <v xml:space="preserve">Refers to a hot water boiler that supplies heat to a district heating network. Wood pellets are used as reference fuel. A selective non-catalytic reduction (SNCR) is taken into account for the reduction of NOx. Thus, the main components consist of a wood pellet silo storage, where wood pellets can be stored up to one week, in addition to a pellet boiler, SNCR, other mechanical components and a simple building. </v>
      </c>
    </row>
    <row r="12" spans="1:52" ht="15.75" customHeight="1">
      <c r="A12" s="159"/>
      <c r="B12" s="236" t="s">
        <v>171</v>
      </c>
      <c r="C12" s="236"/>
      <c r="D12" s="237" t="s">
        <v>29</v>
      </c>
      <c r="E12" s="227"/>
      <c r="F12" s="227"/>
      <c r="G12" s="227"/>
      <c r="H12" s="227"/>
      <c r="I12" s="227"/>
      <c r="J12" s="227"/>
      <c r="K12" s="228"/>
      <c r="L12" s="161"/>
      <c r="M12" s="161"/>
      <c r="N12" s="161"/>
      <c r="O12" s="161"/>
      <c r="P12" s="159"/>
      <c r="Q12" s="159"/>
      <c r="R12" s="159"/>
      <c r="S12" s="159"/>
      <c r="T12" s="159"/>
      <c r="U12" s="159"/>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row>
    <row r="13" spans="1:52" ht="11.25" customHeight="1">
      <c r="A13" s="159"/>
      <c r="B13" s="236"/>
      <c r="C13" s="236"/>
      <c r="D13" s="238"/>
      <c r="E13" s="239"/>
      <c r="F13" s="239"/>
      <c r="G13" s="239"/>
      <c r="H13" s="239"/>
      <c r="I13" s="239"/>
      <c r="J13" s="239"/>
      <c r="K13" s="240"/>
      <c r="L13" s="162"/>
      <c r="M13" s="162"/>
      <c r="N13" s="162"/>
      <c r="O13" s="162"/>
      <c r="P13" s="159"/>
      <c r="Q13" s="159"/>
      <c r="R13" s="159"/>
      <c r="S13" s="159"/>
      <c r="T13" s="159"/>
      <c r="U13" s="159"/>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06">
        <f>D13</f>
        <v>0</v>
      </c>
    </row>
    <row r="14" spans="1:52" ht="21" customHeight="1">
      <c r="A14" s="159"/>
      <c r="B14" s="219" t="s">
        <v>47</v>
      </c>
      <c r="C14" s="220"/>
      <c r="D14" s="220"/>
      <c r="E14" s="220"/>
      <c r="F14" s="220"/>
      <c r="G14" s="220"/>
      <c r="H14" s="220"/>
      <c r="I14" s="220"/>
      <c r="J14" s="220"/>
      <c r="K14" s="221"/>
      <c r="L14" s="74"/>
      <c r="M14" s="74"/>
      <c r="N14" s="74"/>
      <c r="O14" s="74"/>
      <c r="P14" s="159"/>
      <c r="Q14" s="159"/>
      <c r="R14" s="159"/>
      <c r="S14" s="159"/>
      <c r="T14" s="159"/>
      <c r="U14" s="159"/>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row>
    <row r="15" spans="1:52" ht="15" customHeight="1">
      <c r="A15" s="159"/>
      <c r="B15" s="241" t="s">
        <v>48</v>
      </c>
      <c r="C15" s="241"/>
      <c r="D15" s="242" t="s">
        <v>172</v>
      </c>
      <c r="E15" s="243"/>
      <c r="F15" s="243"/>
      <c r="G15" s="243"/>
      <c r="H15" s="243"/>
      <c r="I15" s="243"/>
      <c r="J15" s="243"/>
      <c r="K15" s="244"/>
      <c r="L15" s="74"/>
      <c r="M15" s="74"/>
      <c r="N15" s="74"/>
      <c r="O15" s="74"/>
      <c r="P15" s="159"/>
      <c r="Q15" s="159"/>
      <c r="R15" s="159"/>
      <c r="S15" s="159"/>
      <c r="T15" s="159"/>
      <c r="U15" s="159"/>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row>
    <row r="16" spans="1:52" ht="15" customHeight="1">
      <c r="A16" s="159"/>
      <c r="B16" s="241"/>
      <c r="C16" s="241"/>
      <c r="D16" s="245"/>
      <c r="E16" s="246"/>
      <c r="F16" s="246"/>
      <c r="G16" s="246"/>
      <c r="H16" s="246"/>
      <c r="I16" s="246"/>
      <c r="J16" s="246"/>
      <c r="K16" s="247"/>
      <c r="L16" s="74"/>
      <c r="M16" s="74"/>
      <c r="N16" s="74"/>
      <c r="O16" s="74"/>
      <c r="P16" s="159"/>
      <c r="Q16" s="159"/>
      <c r="R16" s="159"/>
      <c r="S16" s="159"/>
      <c r="T16" s="159"/>
      <c r="U16" s="159"/>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row>
    <row r="17" spans="1:21">
      <c r="A17" s="159"/>
      <c r="B17" s="272"/>
      <c r="C17" s="272"/>
      <c r="D17" s="273" t="s">
        <v>173</v>
      </c>
      <c r="E17" s="273"/>
      <c r="F17" s="273"/>
      <c r="G17" s="154" t="s">
        <v>174</v>
      </c>
      <c r="H17" s="154" t="s">
        <v>175</v>
      </c>
      <c r="I17" s="154" t="s">
        <v>176</v>
      </c>
      <c r="J17" s="154" t="s">
        <v>177</v>
      </c>
      <c r="K17" s="154" t="s">
        <v>178</v>
      </c>
      <c r="L17" s="75"/>
      <c r="M17" s="75"/>
      <c r="N17" s="75"/>
      <c r="O17" s="75"/>
      <c r="P17" s="159"/>
      <c r="Q17" s="159"/>
      <c r="R17" s="159"/>
      <c r="S17" s="159"/>
      <c r="T17" s="159"/>
      <c r="U17" s="159"/>
    </row>
    <row r="18" spans="1:21" ht="15.75" customHeight="1">
      <c r="A18" s="159"/>
      <c r="B18" s="241" t="s">
        <v>52</v>
      </c>
      <c r="C18" s="241"/>
      <c r="D18" s="274" t="str">
        <f>IF(D15="Please select","Select Functional Unit above",D15)</f>
        <v>MWth</v>
      </c>
      <c r="E18" s="274"/>
      <c r="F18" s="274"/>
      <c r="G18" s="92">
        <v>16.667000000000002</v>
      </c>
      <c r="H18" s="91"/>
      <c r="I18" s="91"/>
      <c r="J18" s="91"/>
      <c r="K18" s="91"/>
      <c r="L18" s="76"/>
      <c r="M18" s="76"/>
      <c r="N18" s="76"/>
      <c r="O18" s="76"/>
      <c r="P18" s="159"/>
      <c r="Q18" s="159"/>
      <c r="R18" s="159"/>
      <c r="S18" s="159"/>
      <c r="T18" s="159"/>
      <c r="U18" s="159"/>
    </row>
    <row r="19" spans="1:21" ht="15.75" customHeight="1">
      <c r="A19" s="159"/>
      <c r="B19" s="241"/>
      <c r="C19" s="241"/>
      <c r="D19" s="274"/>
      <c r="E19" s="274"/>
      <c r="F19" s="274"/>
      <c r="G19" s="102" t="s">
        <v>179</v>
      </c>
      <c r="H19" s="102" t="s">
        <v>180</v>
      </c>
      <c r="I19" s="102" t="s">
        <v>180</v>
      </c>
      <c r="J19" s="102" t="s">
        <v>180</v>
      </c>
      <c r="K19" s="102" t="s">
        <v>180</v>
      </c>
      <c r="L19" s="76"/>
      <c r="M19" s="76"/>
      <c r="N19" s="76"/>
      <c r="O19" s="76"/>
      <c r="P19" s="159"/>
      <c r="Q19" s="159"/>
      <c r="R19" s="159"/>
      <c r="S19" s="159"/>
      <c r="T19" s="159"/>
      <c r="U19" s="159"/>
    </row>
    <row r="20" spans="1:21" ht="15.75" customHeight="1">
      <c r="A20" s="159"/>
      <c r="B20" s="272"/>
      <c r="C20" s="272"/>
      <c r="D20" s="275" t="s">
        <v>173</v>
      </c>
      <c r="E20" s="276"/>
      <c r="F20" s="156" t="s">
        <v>181</v>
      </c>
      <c r="G20" s="256" t="s">
        <v>182</v>
      </c>
      <c r="H20" s="256"/>
      <c r="I20" s="256"/>
      <c r="J20" s="256"/>
      <c r="K20" s="256"/>
      <c r="L20" s="283">
        <v>2030</v>
      </c>
      <c r="M20" s="283"/>
      <c r="N20" s="283"/>
      <c r="O20" s="283"/>
      <c r="P20" s="283"/>
      <c r="Q20" s="256">
        <v>2050</v>
      </c>
      <c r="R20" s="256"/>
      <c r="S20" s="256"/>
      <c r="T20" s="256"/>
      <c r="U20" s="256"/>
    </row>
    <row r="21" spans="1:21" ht="15.75" customHeight="1">
      <c r="A21" s="159"/>
      <c r="B21" s="257" t="s">
        <v>57</v>
      </c>
      <c r="C21" s="258"/>
      <c r="D21" s="263" t="str">
        <f>IF(D15="Please select","Select Functional Unit above",D15)</f>
        <v>MWth</v>
      </c>
      <c r="E21" s="264"/>
      <c r="F21" s="269" t="s">
        <v>183</v>
      </c>
      <c r="G21" s="154" t="s">
        <v>174</v>
      </c>
      <c r="H21" s="154" t="s">
        <v>175</v>
      </c>
      <c r="I21" s="154" t="s">
        <v>176</v>
      </c>
      <c r="J21" s="154" t="s">
        <v>177</v>
      </c>
      <c r="K21" s="154" t="s">
        <v>178</v>
      </c>
      <c r="L21" s="155" t="s">
        <v>174</v>
      </c>
      <c r="M21" s="155" t="s">
        <v>175</v>
      </c>
      <c r="N21" s="155" t="s">
        <v>176</v>
      </c>
      <c r="O21" s="155" t="s">
        <v>177</v>
      </c>
      <c r="P21" s="155" t="s">
        <v>178</v>
      </c>
      <c r="Q21" s="154" t="s">
        <v>174</v>
      </c>
      <c r="R21" s="154" t="s">
        <v>175</v>
      </c>
      <c r="S21" s="154" t="s">
        <v>176</v>
      </c>
      <c r="T21" s="154" t="s">
        <v>177</v>
      </c>
      <c r="U21" s="154" t="s">
        <v>178</v>
      </c>
    </row>
    <row r="22" spans="1:21" ht="15" customHeight="1">
      <c r="A22" s="159"/>
      <c r="B22" s="259"/>
      <c r="C22" s="260"/>
      <c r="D22" s="265"/>
      <c r="E22" s="266"/>
      <c r="F22" s="270"/>
      <c r="G22" s="143"/>
      <c r="H22" s="144"/>
      <c r="I22" s="144"/>
      <c r="J22" s="144"/>
      <c r="K22" s="144"/>
      <c r="L22" s="145"/>
      <c r="M22" s="146"/>
      <c r="N22" s="146"/>
      <c r="O22" s="101"/>
      <c r="P22" s="101"/>
      <c r="Q22" s="90"/>
      <c r="R22" s="101"/>
      <c r="S22" s="101"/>
      <c r="T22" s="101"/>
      <c r="U22" s="101"/>
    </row>
    <row r="23" spans="1:21">
      <c r="A23" s="159"/>
      <c r="B23" s="261"/>
      <c r="C23" s="262"/>
      <c r="D23" s="267"/>
      <c r="E23" s="268"/>
      <c r="F23" s="271"/>
      <c r="G23" s="141"/>
      <c r="H23" s="141"/>
      <c r="I23" s="141"/>
      <c r="J23" s="141" t="s">
        <v>180</v>
      </c>
      <c r="K23" s="141" t="s">
        <v>180</v>
      </c>
      <c r="L23" s="141"/>
      <c r="M23" s="141"/>
      <c r="N23" s="141"/>
      <c r="O23" s="102" t="s">
        <v>180</v>
      </c>
      <c r="P23" s="102" t="s">
        <v>180</v>
      </c>
      <c r="Q23" s="102" t="s">
        <v>180</v>
      </c>
      <c r="R23" s="102" t="s">
        <v>180</v>
      </c>
      <c r="S23" s="102" t="s">
        <v>180</v>
      </c>
      <c r="T23" s="102" t="s">
        <v>180</v>
      </c>
      <c r="U23" s="102" t="s">
        <v>180</v>
      </c>
    </row>
    <row r="24" spans="1:21" ht="15.75" customHeight="1">
      <c r="A24" s="159"/>
      <c r="B24" s="241" t="s">
        <v>184</v>
      </c>
      <c r="C24" s="241"/>
      <c r="D24" s="242" t="s">
        <v>185</v>
      </c>
      <c r="E24" s="244"/>
      <c r="F24" s="277" t="s">
        <v>186</v>
      </c>
      <c r="G24" s="92"/>
      <c r="H24" s="91"/>
      <c r="I24" s="91"/>
      <c r="J24" s="91"/>
      <c r="K24" s="91"/>
      <c r="L24" s="90"/>
      <c r="M24" s="101"/>
      <c r="N24" s="101"/>
      <c r="O24" s="101"/>
      <c r="P24" s="101"/>
      <c r="Q24" s="90"/>
      <c r="R24" s="101"/>
      <c r="S24" s="101"/>
      <c r="T24" s="101"/>
      <c r="U24" s="101"/>
    </row>
    <row r="25" spans="1:21" ht="15.75" customHeight="1">
      <c r="A25" s="159"/>
      <c r="B25" s="241"/>
      <c r="C25" s="241"/>
      <c r="D25" s="245"/>
      <c r="E25" s="247"/>
      <c r="F25" s="278"/>
      <c r="G25" s="102" t="s">
        <v>180</v>
      </c>
      <c r="H25" s="102" t="s">
        <v>180</v>
      </c>
      <c r="I25" s="102" t="s">
        <v>180</v>
      </c>
      <c r="J25" s="102" t="s">
        <v>180</v>
      </c>
      <c r="K25" s="102" t="s">
        <v>180</v>
      </c>
      <c r="L25" s="102" t="s">
        <v>180</v>
      </c>
      <c r="M25" s="102" t="s">
        <v>180</v>
      </c>
      <c r="N25" s="102" t="s">
        <v>180</v>
      </c>
      <c r="O25" s="102" t="s">
        <v>180</v>
      </c>
      <c r="P25" s="102" t="s">
        <v>180</v>
      </c>
      <c r="Q25" s="102" t="s">
        <v>180</v>
      </c>
      <c r="R25" s="102" t="s">
        <v>180</v>
      </c>
      <c r="S25" s="102" t="s">
        <v>180</v>
      </c>
      <c r="T25" s="102" t="s">
        <v>180</v>
      </c>
      <c r="U25" s="102" t="s">
        <v>180</v>
      </c>
    </row>
    <row r="26" spans="1:21">
      <c r="A26" s="159"/>
      <c r="B26" s="279" t="s">
        <v>66</v>
      </c>
      <c r="C26" s="279"/>
      <c r="D26" s="280" t="s">
        <v>187</v>
      </c>
      <c r="E26" s="281"/>
      <c r="F26" s="281"/>
      <c r="G26" s="281"/>
      <c r="H26" s="281"/>
      <c r="I26" s="281"/>
      <c r="J26" s="281"/>
      <c r="K26" s="282"/>
      <c r="L26" s="78"/>
      <c r="M26" s="78"/>
      <c r="N26" s="78"/>
      <c r="O26" s="78"/>
      <c r="P26" s="159"/>
      <c r="Q26" s="159"/>
      <c r="R26" s="159"/>
      <c r="S26" s="159"/>
      <c r="T26" s="159"/>
      <c r="U26" s="159"/>
    </row>
    <row r="27" spans="1:21">
      <c r="A27" s="159"/>
      <c r="B27" s="279" t="s">
        <v>69</v>
      </c>
      <c r="C27" s="279"/>
      <c r="D27" s="280">
        <v>6000</v>
      </c>
      <c r="E27" s="281"/>
      <c r="F27" s="281"/>
      <c r="G27" s="281"/>
      <c r="H27" s="281"/>
      <c r="I27" s="281"/>
      <c r="J27" s="281"/>
      <c r="K27" s="282"/>
      <c r="L27" s="78"/>
      <c r="M27" s="78"/>
      <c r="N27" s="78"/>
      <c r="O27" s="78"/>
      <c r="P27" s="159"/>
      <c r="Q27" s="159"/>
      <c r="R27" s="159"/>
      <c r="S27" s="159"/>
      <c r="T27" s="159"/>
      <c r="U27" s="159"/>
    </row>
    <row r="28" spans="1:21" ht="15" customHeight="1">
      <c r="A28" s="159"/>
      <c r="B28" s="279" t="s">
        <v>71</v>
      </c>
      <c r="C28" s="279"/>
      <c r="D28" s="223" t="s">
        <v>188</v>
      </c>
      <c r="E28" s="224"/>
      <c r="F28" s="224"/>
      <c r="G28" s="224"/>
      <c r="H28" s="224"/>
      <c r="I28" s="224"/>
      <c r="J28" s="224"/>
      <c r="K28" s="225"/>
      <c r="L28" s="78"/>
      <c r="M28" s="78"/>
      <c r="N28" s="78"/>
      <c r="O28" s="78"/>
      <c r="P28" s="159"/>
      <c r="Q28" s="159"/>
      <c r="R28" s="159"/>
      <c r="S28" s="159"/>
      <c r="T28" s="159"/>
      <c r="U28" s="159"/>
    </row>
    <row r="29" spans="1:21" ht="15.75" customHeight="1">
      <c r="A29" s="159"/>
      <c r="B29" s="279" t="s">
        <v>74</v>
      </c>
      <c r="C29" s="279"/>
      <c r="D29" s="280" t="s">
        <v>189</v>
      </c>
      <c r="E29" s="281"/>
      <c r="F29" s="281"/>
      <c r="G29" s="281"/>
      <c r="H29" s="281"/>
      <c r="I29" s="281"/>
      <c r="J29" s="281"/>
      <c r="K29" s="282"/>
      <c r="L29" s="77"/>
      <c r="M29" s="77"/>
      <c r="N29" s="77"/>
      <c r="O29" s="77"/>
      <c r="P29" s="159"/>
      <c r="Q29" s="159"/>
      <c r="R29" s="159"/>
      <c r="S29" s="159"/>
      <c r="T29" s="159"/>
      <c r="U29" s="159"/>
    </row>
    <row r="30" spans="1:21">
      <c r="A30" s="159"/>
      <c r="B30" s="279" t="s">
        <v>79</v>
      </c>
      <c r="C30" s="279"/>
      <c r="D30" s="280">
        <v>15</v>
      </c>
      <c r="E30" s="281"/>
      <c r="F30" s="281"/>
      <c r="G30" s="281"/>
      <c r="H30" s="281"/>
      <c r="I30" s="281"/>
      <c r="J30" s="281"/>
      <c r="K30" s="282"/>
      <c r="L30" s="78"/>
      <c r="M30" s="78"/>
      <c r="N30" s="78"/>
      <c r="O30" s="78"/>
      <c r="P30" s="159"/>
      <c r="Q30" s="159"/>
      <c r="R30" s="159"/>
      <c r="S30" s="159"/>
      <c r="T30" s="159"/>
      <c r="U30" s="159"/>
    </row>
    <row r="31" spans="1:21">
      <c r="A31" s="159"/>
      <c r="B31" s="279" t="s">
        <v>81</v>
      </c>
      <c r="C31" s="279"/>
      <c r="D31" s="280"/>
      <c r="E31" s="281"/>
      <c r="F31" s="281"/>
      <c r="G31" s="281"/>
      <c r="H31" s="281"/>
      <c r="I31" s="281"/>
      <c r="J31" s="281"/>
      <c r="K31" s="282"/>
      <c r="L31" s="78"/>
      <c r="M31" s="78"/>
      <c r="N31" s="78"/>
      <c r="O31" s="78"/>
      <c r="P31" s="159"/>
      <c r="Q31" s="159"/>
      <c r="R31" s="159"/>
      <c r="S31" s="159"/>
      <c r="T31" s="159"/>
      <c r="U31" s="159"/>
    </row>
    <row r="32" spans="1:21">
      <c r="A32" s="159"/>
      <c r="B32" s="279" t="s">
        <v>83</v>
      </c>
      <c r="C32" s="279"/>
      <c r="D32" s="223" t="s">
        <v>188</v>
      </c>
      <c r="E32" s="224"/>
      <c r="F32" s="224"/>
      <c r="G32" s="224"/>
      <c r="H32" s="224"/>
      <c r="I32" s="224"/>
      <c r="J32" s="224"/>
      <c r="K32" s="225"/>
      <c r="L32" s="78"/>
      <c r="M32" s="78"/>
      <c r="N32" s="78"/>
      <c r="O32" s="78"/>
      <c r="P32" s="159"/>
      <c r="Q32" s="159"/>
      <c r="R32" s="159"/>
      <c r="S32" s="159"/>
      <c r="T32" s="159"/>
      <c r="U32" s="159"/>
    </row>
    <row r="33" spans="1:53" ht="198" customHeight="1">
      <c r="A33" s="159"/>
      <c r="B33" s="241" t="s">
        <v>190</v>
      </c>
      <c r="C33" s="241"/>
      <c r="D33" s="284" t="s">
        <v>191</v>
      </c>
      <c r="E33" s="285"/>
      <c r="F33" s="285"/>
      <c r="G33" s="285"/>
      <c r="H33" s="285"/>
      <c r="I33" s="285"/>
      <c r="J33" s="285"/>
      <c r="K33" s="286"/>
      <c r="L33" s="162"/>
      <c r="M33" s="162"/>
      <c r="N33" s="162"/>
      <c r="O33" s="162"/>
      <c r="P33" s="159"/>
      <c r="Q33" s="159"/>
      <c r="R33" s="159"/>
      <c r="S33" s="159"/>
      <c r="T33" s="159"/>
      <c r="U33" s="159"/>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06" t="str">
        <f>D33</f>
        <v xml:space="preserve">The functional unit refers to MWth input. The number of full load hours of such a boiler can vary greatly. It is assumed that the boiler covers a large part of the base load and can also function as a seasonal boiler. That is why the full load hours are set to 6,000. 
The solid biomass potential can be based on the biomass potential studies conducted by DNV GL and the Biomass Policies project. These studies looked at the biomass potential in the Netherlands. The feedstock categories included are: waste wood, forest residues, fuel wood (refers to only current fuel wood use), nature and landscape biomass, and woody/lignocelluloses dedicated crops (this category is included in the Biomass Policies project). These studies indicate the solid biomass potential to be in the range of  41-46 PJ in 2020, increasing to 58.7-72.8 PJ in 2030.  
The import potential to the Netherlands is more difficult to determine. It will depend, amongst others, on the policy frameworks within the EU member states and outside. The  biomass potential in Europe has been defined by a number of studies. The most recent ones are Biomass Policies (Elbersen et al, 2015 ), JRC EU-TIMES (Ruiz et al., 2015) and BioSustain (PWC, 2017). Amongst these studies, the lowest range (referred to as low availability) and the highest range (referred to as high availability) are observed in the JRC study. According to this study, in 2020 the lowest and the highest EU total biomass potential are 8.33-18.17 EJ. In 2030, this range is 8.61-19.97 EJ and in 2050 it is 8.16-21.13 EJ. How much of this potential can be considered as  import potential to the Netherlands will depend on the national policies of each country and the intra EU trade developments regarding wood chips and wood pellets. 
There is also wood chips and wood pellets import potential to Europe and to the Netherlands from regions outside of the EU (form the US, Canada, Russia and Ukraine, Latin and Central America etc). Biomass Policies defines the import potential as 16.67 EJ in 2030, whereas JRC defines it as 0.28-0.52 EJ, increasing to 0.94 EJ. </v>
      </c>
    </row>
    <row r="34" spans="1:53" ht="21" customHeight="1">
      <c r="A34" s="159"/>
      <c r="B34" s="292" t="s">
        <v>192</v>
      </c>
      <c r="C34" s="292"/>
      <c r="D34" s="292"/>
      <c r="E34" s="292"/>
      <c r="F34" s="292"/>
      <c r="G34" s="292"/>
      <c r="H34" s="292"/>
      <c r="I34" s="292"/>
      <c r="J34" s="292"/>
      <c r="K34" s="292"/>
      <c r="L34" s="292"/>
      <c r="M34" s="292"/>
      <c r="N34" s="292"/>
      <c r="O34" s="292"/>
      <c r="P34" s="292"/>
      <c r="Q34" s="292"/>
      <c r="R34" s="292"/>
      <c r="S34" s="292"/>
      <c r="T34" s="292"/>
      <c r="U34" s="292"/>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row>
    <row r="35" spans="1:53" ht="15.75" customHeight="1">
      <c r="A35" s="159"/>
      <c r="B35" s="293" t="s">
        <v>193</v>
      </c>
      <c r="C35" s="293"/>
      <c r="D35" s="293"/>
      <c r="E35" s="293"/>
      <c r="F35" s="293"/>
      <c r="G35" s="256" t="s">
        <v>182</v>
      </c>
      <c r="H35" s="256"/>
      <c r="I35" s="256"/>
      <c r="J35" s="256"/>
      <c r="K35" s="256"/>
      <c r="L35" s="283">
        <v>2030</v>
      </c>
      <c r="M35" s="283"/>
      <c r="N35" s="283"/>
      <c r="O35" s="283"/>
      <c r="P35" s="283"/>
      <c r="Q35" s="256">
        <v>2050</v>
      </c>
      <c r="R35" s="256"/>
      <c r="S35" s="256"/>
      <c r="T35" s="256"/>
      <c r="U35" s="256"/>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row>
    <row r="36" spans="1:53" ht="15.75" customHeight="1">
      <c r="A36" s="159"/>
      <c r="B36" s="293"/>
      <c r="C36" s="293"/>
      <c r="D36" s="294"/>
      <c r="E36" s="294"/>
      <c r="F36" s="294"/>
      <c r="G36" s="154" t="s">
        <v>174</v>
      </c>
      <c r="H36" s="154" t="s">
        <v>175</v>
      </c>
      <c r="I36" s="154" t="s">
        <v>176</v>
      </c>
      <c r="J36" s="154" t="s">
        <v>177</v>
      </c>
      <c r="K36" s="154" t="s">
        <v>178</v>
      </c>
      <c r="L36" s="155" t="s">
        <v>174</v>
      </c>
      <c r="M36" s="155" t="s">
        <v>175</v>
      </c>
      <c r="N36" s="155" t="s">
        <v>176</v>
      </c>
      <c r="O36" s="155" t="s">
        <v>177</v>
      </c>
      <c r="P36" s="155" t="s">
        <v>178</v>
      </c>
      <c r="Q36" s="154" t="s">
        <v>174</v>
      </c>
      <c r="R36" s="154" t="s">
        <v>175</v>
      </c>
      <c r="S36" s="154" t="s">
        <v>176</v>
      </c>
      <c r="T36" s="154" t="s">
        <v>177</v>
      </c>
      <c r="U36" s="154" t="s">
        <v>178</v>
      </c>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row>
    <row r="37" spans="1:53" ht="15.75" customHeight="1">
      <c r="A37" s="159"/>
      <c r="B37" s="236" t="s">
        <v>90</v>
      </c>
      <c r="C37" s="295"/>
      <c r="D37" s="287" t="s">
        <v>194</v>
      </c>
      <c r="E37" s="289" t="str">
        <f>IF(D15="Please select","Please select 'Functional Unit' above",D15)</f>
        <v>MWth</v>
      </c>
      <c r="F37" s="290"/>
      <c r="G37" s="190">
        <f>0.504*('READ ME'!D103/'READ ME'!D106)</f>
        <v>0.49120755189841692</v>
      </c>
      <c r="H37" s="101"/>
      <c r="I37" s="101"/>
      <c r="J37" s="101"/>
      <c r="K37" s="101"/>
      <c r="L37" s="92">
        <f>G37</f>
        <v>0.49120755189841692</v>
      </c>
      <c r="M37" s="101"/>
      <c r="N37" s="101"/>
      <c r="O37" s="101"/>
      <c r="P37" s="101"/>
      <c r="Q37" s="92">
        <f>L37</f>
        <v>0.49120755189841692</v>
      </c>
      <c r="R37" s="101"/>
      <c r="S37" s="101"/>
      <c r="T37" s="101"/>
      <c r="U37" s="101"/>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row>
    <row r="38" spans="1:53">
      <c r="A38" s="159"/>
      <c r="B38" s="236"/>
      <c r="C38" s="295"/>
      <c r="D38" s="288"/>
      <c r="E38" s="291"/>
      <c r="F38" s="195"/>
      <c r="G38" s="103" t="s">
        <v>179</v>
      </c>
      <c r="H38" s="102"/>
      <c r="I38" s="141"/>
      <c r="J38" s="102" t="s">
        <v>180</v>
      </c>
      <c r="K38" s="102" t="s">
        <v>180</v>
      </c>
      <c r="L38" s="92" t="str">
        <f t="shared" ref="L38:L39" si="0">G38</f>
        <v>SDE+2019</v>
      </c>
      <c r="M38" s="102"/>
      <c r="N38" s="102"/>
      <c r="O38" s="102" t="s">
        <v>180</v>
      </c>
      <c r="P38" s="102" t="s">
        <v>180</v>
      </c>
      <c r="Q38" s="92" t="str">
        <f t="shared" ref="Q38:Q39" si="1">L38</f>
        <v>SDE+2019</v>
      </c>
      <c r="R38" s="102"/>
      <c r="S38" s="102"/>
      <c r="T38" s="102" t="s">
        <v>180</v>
      </c>
      <c r="U38" s="102" t="s">
        <v>180</v>
      </c>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row>
    <row r="39" spans="1:53" ht="15.75" customHeight="1">
      <c r="A39" s="159"/>
      <c r="B39" s="236" t="s">
        <v>195</v>
      </c>
      <c r="C39" s="236"/>
      <c r="D39" s="287" t="s">
        <v>194</v>
      </c>
      <c r="E39" s="289" t="str">
        <f>IF(D15="Please select","Please select 'Functional Unit' above",D15)</f>
        <v>MWth</v>
      </c>
      <c r="F39" s="290"/>
      <c r="G39" s="188">
        <f>0.027*('READ ME'!D103/'READ ME'!D106)</f>
        <v>2.6314690280272335E-2</v>
      </c>
      <c r="H39" s="101"/>
      <c r="I39" s="101"/>
      <c r="J39" s="101"/>
      <c r="K39" s="101"/>
      <c r="L39" s="92">
        <f t="shared" si="0"/>
        <v>2.6314690280272335E-2</v>
      </c>
      <c r="M39" s="101"/>
      <c r="N39" s="101"/>
      <c r="O39" s="101"/>
      <c r="P39" s="101"/>
      <c r="Q39" s="92">
        <f t="shared" si="1"/>
        <v>2.6314690280272335E-2</v>
      </c>
      <c r="R39" s="101"/>
      <c r="S39" s="101"/>
      <c r="T39" s="101"/>
      <c r="U39" s="101"/>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row>
    <row r="40" spans="1:53" ht="15" customHeight="1">
      <c r="A40" s="159"/>
      <c r="B40" s="236"/>
      <c r="C40" s="236"/>
      <c r="D40" s="288"/>
      <c r="E40" s="291"/>
      <c r="F40" s="195"/>
      <c r="G40" s="102" t="s">
        <v>179</v>
      </c>
      <c r="H40" s="102"/>
      <c r="I40" s="141"/>
      <c r="J40" s="102" t="s">
        <v>180</v>
      </c>
      <c r="K40" s="102" t="s">
        <v>180</v>
      </c>
      <c r="L40" s="141"/>
      <c r="M40" s="102"/>
      <c r="N40" s="102"/>
      <c r="O40" s="102" t="s">
        <v>180</v>
      </c>
      <c r="P40" s="102" t="s">
        <v>180</v>
      </c>
      <c r="Q40" s="141"/>
      <c r="R40" s="102"/>
      <c r="S40" s="102"/>
      <c r="T40" s="102" t="s">
        <v>180</v>
      </c>
      <c r="U40" s="102" t="s">
        <v>180</v>
      </c>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row>
    <row r="41" spans="1:53" ht="15.75" customHeight="1">
      <c r="A41" s="159"/>
      <c r="B41" s="236" t="s">
        <v>196</v>
      </c>
      <c r="C41" s="236"/>
      <c r="D41" s="287" t="s">
        <v>194</v>
      </c>
      <c r="E41" s="289" t="str">
        <f>IF(D15="Please select","Please select 'Functional Unit' above",D15)</f>
        <v>MWth</v>
      </c>
      <c r="F41" s="290"/>
      <c r="G41" s="191">
        <f>0.0000027*('READ ME'!D103/'READ ME'!D106)</f>
        <v>2.6314690280272334E-6</v>
      </c>
      <c r="H41" s="101"/>
      <c r="I41" s="101"/>
      <c r="J41" s="101"/>
      <c r="K41" s="101"/>
      <c r="L41" s="92"/>
      <c r="M41" s="101"/>
      <c r="N41" s="101"/>
      <c r="O41" s="101"/>
      <c r="P41" s="101"/>
      <c r="Q41" s="92">
        <f>L41</f>
        <v>0</v>
      </c>
      <c r="R41" s="101"/>
      <c r="S41" s="101"/>
      <c r="T41" s="101"/>
      <c r="U41" s="101"/>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row>
    <row r="42" spans="1:53" ht="15" customHeight="1">
      <c r="A42" s="159"/>
      <c r="B42" s="236"/>
      <c r="C42" s="236"/>
      <c r="D42" s="288"/>
      <c r="E42" s="291"/>
      <c r="F42" s="195"/>
      <c r="G42" s="102" t="s">
        <v>197</v>
      </c>
      <c r="H42" s="102" t="s">
        <v>180</v>
      </c>
      <c r="I42" s="102" t="s">
        <v>180</v>
      </c>
      <c r="J42" s="102" t="s">
        <v>180</v>
      </c>
      <c r="K42" s="102" t="s">
        <v>180</v>
      </c>
      <c r="L42" s="92"/>
      <c r="M42" s="102" t="s">
        <v>180</v>
      </c>
      <c r="N42" s="102" t="s">
        <v>180</v>
      </c>
      <c r="O42" s="102" t="s">
        <v>180</v>
      </c>
      <c r="P42" s="102" t="s">
        <v>180</v>
      </c>
      <c r="Q42" s="92">
        <f>L42</f>
        <v>0</v>
      </c>
      <c r="R42" s="102" t="s">
        <v>180</v>
      </c>
      <c r="S42" s="102" t="s">
        <v>180</v>
      </c>
      <c r="T42" s="102" t="s">
        <v>180</v>
      </c>
      <c r="U42" s="102" t="s">
        <v>180</v>
      </c>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row>
    <row r="43" spans="1:53" ht="64.5" customHeight="1">
      <c r="A43" s="159"/>
      <c r="B43" s="252" t="s">
        <v>198</v>
      </c>
      <c r="C43" s="252"/>
      <c r="D43" s="296" t="s">
        <v>199</v>
      </c>
      <c r="E43" s="296"/>
      <c r="F43" s="296"/>
      <c r="G43" s="296"/>
      <c r="H43" s="296"/>
      <c r="I43" s="296"/>
      <c r="J43" s="296"/>
      <c r="K43" s="296"/>
      <c r="L43" s="296"/>
      <c r="M43" s="296"/>
      <c r="N43" s="296"/>
      <c r="O43" s="296"/>
      <c r="P43" s="296"/>
      <c r="Q43" s="296"/>
      <c r="R43" s="296"/>
      <c r="S43" s="296"/>
      <c r="T43" s="296"/>
      <c r="U43" s="296"/>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BA43" s="106" t="str">
        <f>D43</f>
        <v xml:space="preserve">In above figures MWth refers to input. Costs data are converted to 2015. 
Investment costs cover the costs regarding wood pellet storage in silos, wood pellet boiler, SNCR installation and the building cost.  In SDE+, costs associated with the construction of the installations, excluding the site costs, are also included in the investment costs. 
The fixed O&amp;M costs include costs for fixed maintenance and operational management (remote controlled boiler). The variable O&amp;M costs refers to the costs for consumables and ash-sale. </v>
      </c>
    </row>
    <row r="44" spans="1:53" ht="21" customHeight="1">
      <c r="A44" s="159"/>
      <c r="B44" s="292" t="s">
        <v>104</v>
      </c>
      <c r="C44" s="292"/>
      <c r="D44" s="292"/>
      <c r="E44" s="292"/>
      <c r="F44" s="292"/>
      <c r="G44" s="292"/>
      <c r="H44" s="292"/>
      <c r="I44" s="292"/>
      <c r="J44" s="292"/>
      <c r="K44" s="292"/>
      <c r="L44" s="292"/>
      <c r="M44" s="292"/>
      <c r="N44" s="292"/>
      <c r="O44" s="292"/>
      <c r="P44" s="292"/>
      <c r="Q44" s="292"/>
      <c r="R44" s="292"/>
      <c r="S44" s="292"/>
      <c r="T44" s="292"/>
      <c r="U44" s="292"/>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row>
    <row r="45" spans="1:53" ht="15.75" customHeight="1">
      <c r="A45" s="159"/>
      <c r="B45" s="297" t="s">
        <v>200</v>
      </c>
      <c r="C45" s="298"/>
      <c r="D45" s="301" t="s">
        <v>201</v>
      </c>
      <c r="E45" s="301"/>
      <c r="F45" s="301" t="s">
        <v>202</v>
      </c>
      <c r="G45" s="256" t="s">
        <v>182</v>
      </c>
      <c r="H45" s="256"/>
      <c r="I45" s="256"/>
      <c r="J45" s="256"/>
      <c r="K45" s="256"/>
      <c r="L45" s="283">
        <v>2030</v>
      </c>
      <c r="M45" s="283"/>
      <c r="N45" s="283"/>
      <c r="O45" s="283"/>
      <c r="P45" s="283"/>
      <c r="Q45" s="256">
        <v>2050</v>
      </c>
      <c r="R45" s="256"/>
      <c r="S45" s="256"/>
      <c r="T45" s="256"/>
      <c r="U45" s="256"/>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row>
    <row r="46" spans="1:53">
      <c r="A46" s="159"/>
      <c r="B46" s="299"/>
      <c r="C46" s="300"/>
      <c r="D46" s="301"/>
      <c r="E46" s="301"/>
      <c r="F46" s="301"/>
      <c r="G46" s="154" t="s">
        <v>174</v>
      </c>
      <c r="H46" s="154" t="s">
        <v>175</v>
      </c>
      <c r="I46" s="154" t="s">
        <v>176</v>
      </c>
      <c r="J46" s="154" t="s">
        <v>177</v>
      </c>
      <c r="K46" s="154" t="s">
        <v>178</v>
      </c>
      <c r="L46" s="155" t="s">
        <v>174</v>
      </c>
      <c r="M46" s="155" t="s">
        <v>175</v>
      </c>
      <c r="N46" s="155" t="s">
        <v>176</v>
      </c>
      <c r="O46" s="155" t="s">
        <v>177</v>
      </c>
      <c r="P46" s="155" t="s">
        <v>178</v>
      </c>
      <c r="Q46" s="154" t="s">
        <v>174</v>
      </c>
      <c r="R46" s="154" t="s">
        <v>175</v>
      </c>
      <c r="S46" s="154" t="s">
        <v>176</v>
      </c>
      <c r="T46" s="154" t="s">
        <v>177</v>
      </c>
      <c r="U46" s="154" t="s">
        <v>178</v>
      </c>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row>
    <row r="47" spans="1:53" ht="15.75" customHeight="1">
      <c r="A47" s="159"/>
      <c r="B47" s="302" t="s">
        <v>203</v>
      </c>
      <c r="C47" s="303"/>
      <c r="D47" s="308" t="s">
        <v>204</v>
      </c>
      <c r="E47" s="308"/>
      <c r="F47" s="309" t="s">
        <v>140</v>
      </c>
      <c r="G47" s="92">
        <v>-0.9</v>
      </c>
      <c r="H47" s="101"/>
      <c r="I47" s="101"/>
      <c r="J47" s="101"/>
      <c r="K47" s="101"/>
      <c r="L47" s="92"/>
      <c r="M47" s="101"/>
      <c r="N47" s="101"/>
      <c r="O47" s="101"/>
      <c r="P47" s="101"/>
      <c r="Q47" s="92"/>
      <c r="R47" s="101"/>
      <c r="S47" s="101"/>
      <c r="T47" s="101"/>
      <c r="U47" s="101"/>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row>
    <row r="48" spans="1:53">
      <c r="A48" s="159"/>
      <c r="B48" s="304"/>
      <c r="C48" s="305"/>
      <c r="D48" s="308"/>
      <c r="E48" s="308"/>
      <c r="F48" s="309"/>
      <c r="G48" s="103" t="s">
        <v>179</v>
      </c>
      <c r="H48" s="102" t="s">
        <v>180</v>
      </c>
      <c r="I48" s="102" t="s">
        <v>180</v>
      </c>
      <c r="J48" s="102" t="s">
        <v>180</v>
      </c>
      <c r="K48" s="102" t="s">
        <v>180</v>
      </c>
      <c r="L48" s="103" t="s">
        <v>180</v>
      </c>
      <c r="M48" s="102" t="s">
        <v>180</v>
      </c>
      <c r="N48" s="102" t="s">
        <v>180</v>
      </c>
      <c r="O48" s="102" t="s">
        <v>180</v>
      </c>
      <c r="P48" s="102" t="s">
        <v>180</v>
      </c>
      <c r="Q48" s="103" t="s">
        <v>180</v>
      </c>
      <c r="R48" s="102" t="s">
        <v>180</v>
      </c>
      <c r="S48" s="102" t="s">
        <v>180</v>
      </c>
      <c r="T48" s="102" t="s">
        <v>180</v>
      </c>
      <c r="U48" s="102" t="s">
        <v>180</v>
      </c>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row>
    <row r="49" spans="1:53" ht="15" customHeight="1">
      <c r="A49" s="159"/>
      <c r="B49" s="304"/>
      <c r="C49" s="305"/>
      <c r="D49" s="310" t="s">
        <v>205</v>
      </c>
      <c r="E49" s="311"/>
      <c r="F49" s="309" t="s">
        <v>140</v>
      </c>
      <c r="G49" s="92">
        <v>1</v>
      </c>
      <c r="H49" s="101"/>
      <c r="I49" s="101"/>
      <c r="J49" s="101"/>
      <c r="K49" s="101"/>
      <c r="L49" s="92"/>
      <c r="M49" s="101"/>
      <c r="N49" s="101"/>
      <c r="O49" s="101"/>
      <c r="P49" s="101"/>
      <c r="Q49" s="92"/>
      <c r="R49" s="101"/>
      <c r="S49" s="101"/>
      <c r="T49" s="101"/>
      <c r="U49" s="101"/>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row>
    <row r="50" spans="1:53">
      <c r="A50" s="159"/>
      <c r="B50" s="304"/>
      <c r="C50" s="305"/>
      <c r="D50" s="312"/>
      <c r="E50" s="313"/>
      <c r="F50" s="309"/>
      <c r="G50" s="102" t="s">
        <v>179</v>
      </c>
      <c r="H50" s="102" t="s">
        <v>180</v>
      </c>
      <c r="I50" s="102" t="s">
        <v>180</v>
      </c>
      <c r="J50" s="102" t="s">
        <v>180</v>
      </c>
      <c r="K50" s="102" t="s">
        <v>180</v>
      </c>
      <c r="L50" s="102" t="s">
        <v>180</v>
      </c>
      <c r="M50" s="102" t="s">
        <v>180</v>
      </c>
      <c r="N50" s="102" t="s">
        <v>180</v>
      </c>
      <c r="O50" s="102" t="s">
        <v>180</v>
      </c>
      <c r="P50" s="102" t="s">
        <v>180</v>
      </c>
      <c r="Q50" s="102" t="s">
        <v>180</v>
      </c>
      <c r="R50" s="102" t="s">
        <v>180</v>
      </c>
      <c r="S50" s="102" t="s">
        <v>180</v>
      </c>
      <c r="T50" s="102" t="s">
        <v>180</v>
      </c>
      <c r="U50" s="102" t="s">
        <v>180</v>
      </c>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row>
    <row r="51" spans="1:53">
      <c r="A51" s="159"/>
      <c r="B51" s="304"/>
      <c r="C51" s="305"/>
      <c r="D51" s="308"/>
      <c r="E51" s="308"/>
      <c r="F51" s="309" t="s">
        <v>140</v>
      </c>
      <c r="G51" s="92"/>
      <c r="H51" s="101"/>
      <c r="I51" s="101"/>
      <c r="J51" s="101"/>
      <c r="K51" s="101"/>
      <c r="L51" s="92"/>
      <c r="M51" s="101"/>
      <c r="N51" s="101"/>
      <c r="O51" s="101"/>
      <c r="P51" s="101"/>
      <c r="Q51" s="92"/>
      <c r="R51" s="101"/>
      <c r="S51" s="101"/>
      <c r="T51" s="101"/>
      <c r="U51" s="101"/>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row>
    <row r="52" spans="1:53">
      <c r="A52" s="159"/>
      <c r="B52" s="304"/>
      <c r="C52" s="305"/>
      <c r="D52" s="308"/>
      <c r="E52" s="308"/>
      <c r="F52" s="309"/>
      <c r="G52" s="102" t="s">
        <v>180</v>
      </c>
      <c r="H52" s="102" t="s">
        <v>180</v>
      </c>
      <c r="I52" s="102" t="s">
        <v>180</v>
      </c>
      <c r="J52" s="102" t="s">
        <v>180</v>
      </c>
      <c r="K52" s="102" t="s">
        <v>180</v>
      </c>
      <c r="L52" s="102" t="s">
        <v>180</v>
      </c>
      <c r="M52" s="102" t="s">
        <v>180</v>
      </c>
      <c r="N52" s="102" t="s">
        <v>180</v>
      </c>
      <c r="O52" s="102" t="s">
        <v>180</v>
      </c>
      <c r="P52" s="102" t="s">
        <v>180</v>
      </c>
      <c r="Q52" s="102" t="s">
        <v>180</v>
      </c>
      <c r="R52" s="102" t="s">
        <v>180</v>
      </c>
      <c r="S52" s="102" t="s">
        <v>180</v>
      </c>
      <c r="T52" s="102" t="s">
        <v>180</v>
      </c>
      <c r="U52" s="102" t="s">
        <v>180</v>
      </c>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row>
    <row r="53" spans="1:53">
      <c r="A53" s="159"/>
      <c r="B53" s="304"/>
      <c r="C53" s="305"/>
      <c r="D53" s="308" t="s">
        <v>188</v>
      </c>
      <c r="E53" s="308"/>
      <c r="F53" s="309" t="s">
        <v>140</v>
      </c>
      <c r="G53" s="92"/>
      <c r="H53" s="101"/>
      <c r="I53" s="101"/>
      <c r="J53" s="101"/>
      <c r="K53" s="101"/>
      <c r="L53" s="92"/>
      <c r="M53" s="101"/>
      <c r="N53" s="101"/>
      <c r="O53" s="101"/>
      <c r="P53" s="101"/>
      <c r="Q53" s="92"/>
      <c r="R53" s="101"/>
      <c r="S53" s="101"/>
      <c r="T53" s="101"/>
      <c r="U53" s="101"/>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row>
    <row r="54" spans="1:53">
      <c r="A54" s="159"/>
      <c r="B54" s="306"/>
      <c r="C54" s="307"/>
      <c r="D54" s="308"/>
      <c r="E54" s="308"/>
      <c r="F54" s="309"/>
      <c r="G54" s="102" t="s">
        <v>180</v>
      </c>
      <c r="H54" s="102" t="s">
        <v>180</v>
      </c>
      <c r="I54" s="102" t="s">
        <v>180</v>
      </c>
      <c r="J54" s="102" t="s">
        <v>180</v>
      </c>
      <c r="K54" s="102" t="s">
        <v>180</v>
      </c>
      <c r="L54" s="102" t="s">
        <v>180</v>
      </c>
      <c r="M54" s="102" t="s">
        <v>180</v>
      </c>
      <c r="N54" s="102" t="s">
        <v>180</v>
      </c>
      <c r="O54" s="102" t="s">
        <v>180</v>
      </c>
      <c r="P54" s="102" t="s">
        <v>180</v>
      </c>
      <c r="Q54" s="102" t="s">
        <v>180</v>
      </c>
      <c r="R54" s="102" t="s">
        <v>180</v>
      </c>
      <c r="S54" s="102" t="s">
        <v>180</v>
      </c>
      <c r="T54" s="102" t="s">
        <v>180</v>
      </c>
      <c r="U54" s="102" t="s">
        <v>180</v>
      </c>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row>
    <row r="55" spans="1:53" ht="21" customHeight="1">
      <c r="A55" s="159"/>
      <c r="B55" s="236" t="s">
        <v>206</v>
      </c>
      <c r="C55" s="236"/>
      <c r="D55" s="296"/>
      <c r="E55" s="296"/>
      <c r="F55" s="296"/>
      <c r="G55" s="296"/>
      <c r="H55" s="296"/>
      <c r="I55" s="296"/>
      <c r="J55" s="296"/>
      <c r="K55" s="296"/>
      <c r="L55" s="296"/>
      <c r="M55" s="296"/>
      <c r="N55" s="296"/>
      <c r="O55" s="296"/>
      <c r="P55" s="296"/>
      <c r="Q55" s="296"/>
      <c r="R55" s="296"/>
      <c r="S55" s="296"/>
      <c r="T55" s="296"/>
      <c r="U55" s="296"/>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BA55" s="106">
        <f>D55</f>
        <v>0</v>
      </c>
    </row>
    <row r="56" spans="1:53" ht="21" customHeight="1">
      <c r="A56" s="159"/>
      <c r="B56" s="315" t="s">
        <v>207</v>
      </c>
      <c r="C56" s="316"/>
      <c r="D56" s="316"/>
      <c r="E56" s="316"/>
      <c r="F56" s="316"/>
      <c r="G56" s="316"/>
      <c r="H56" s="316"/>
      <c r="I56" s="316"/>
      <c r="J56" s="316"/>
      <c r="K56" s="316"/>
      <c r="L56" s="316"/>
      <c r="M56" s="316"/>
      <c r="N56" s="316"/>
      <c r="O56" s="316"/>
      <c r="P56" s="316"/>
      <c r="Q56" s="316"/>
      <c r="R56" s="316"/>
      <c r="S56" s="316"/>
      <c r="T56" s="316"/>
      <c r="U56" s="316"/>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row>
    <row r="57" spans="1:53" ht="16.5" customHeight="1">
      <c r="A57" s="159"/>
      <c r="B57" s="302" t="s">
        <v>208</v>
      </c>
      <c r="C57" s="303"/>
      <c r="D57" s="317" t="s">
        <v>209</v>
      </c>
      <c r="E57" s="318"/>
      <c r="F57" s="321" t="s">
        <v>202</v>
      </c>
      <c r="G57" s="256" t="s">
        <v>182</v>
      </c>
      <c r="H57" s="256"/>
      <c r="I57" s="256"/>
      <c r="J57" s="256"/>
      <c r="K57" s="256"/>
      <c r="L57" s="283">
        <v>2030</v>
      </c>
      <c r="M57" s="283"/>
      <c r="N57" s="283"/>
      <c r="O57" s="283"/>
      <c r="P57" s="283"/>
      <c r="Q57" s="256">
        <v>2050</v>
      </c>
      <c r="R57" s="256"/>
      <c r="S57" s="256"/>
      <c r="T57" s="256"/>
      <c r="U57" s="256"/>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row>
    <row r="58" spans="1:53">
      <c r="A58" s="159"/>
      <c r="B58" s="304"/>
      <c r="C58" s="305"/>
      <c r="D58" s="319"/>
      <c r="E58" s="320"/>
      <c r="F58" s="322"/>
      <c r="G58" s="154" t="s">
        <v>174</v>
      </c>
      <c r="H58" s="154" t="s">
        <v>175</v>
      </c>
      <c r="I58" s="154" t="s">
        <v>176</v>
      </c>
      <c r="J58" s="154" t="s">
        <v>177</v>
      </c>
      <c r="K58" s="154" t="s">
        <v>178</v>
      </c>
      <c r="L58" s="155" t="s">
        <v>174</v>
      </c>
      <c r="M58" s="155" t="s">
        <v>175</v>
      </c>
      <c r="N58" s="155" t="s">
        <v>176</v>
      </c>
      <c r="O58" s="155" t="s">
        <v>177</v>
      </c>
      <c r="P58" s="155" t="s">
        <v>178</v>
      </c>
      <c r="Q58" s="154" t="s">
        <v>174</v>
      </c>
      <c r="R58" s="154" t="s">
        <v>175</v>
      </c>
      <c r="S58" s="154" t="s">
        <v>176</v>
      </c>
      <c r="T58" s="154" t="s">
        <v>177</v>
      </c>
      <c r="U58" s="154" t="s">
        <v>178</v>
      </c>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row>
    <row r="59" spans="1:53" ht="15.75" customHeight="1">
      <c r="A59" s="159"/>
      <c r="B59" s="304"/>
      <c r="C59" s="305"/>
      <c r="D59" s="308" t="s">
        <v>189</v>
      </c>
      <c r="E59" s="308"/>
      <c r="F59" s="314" t="s">
        <v>189</v>
      </c>
      <c r="G59" s="92"/>
      <c r="H59" s="101"/>
      <c r="I59" s="101"/>
      <c r="J59" s="101"/>
      <c r="K59" s="101"/>
      <c r="L59" s="92"/>
      <c r="M59" s="101"/>
      <c r="N59" s="101"/>
      <c r="O59" s="101"/>
      <c r="P59" s="101"/>
      <c r="Q59" s="92"/>
      <c r="R59" s="101"/>
      <c r="S59" s="101"/>
      <c r="T59" s="101"/>
      <c r="U59" s="101"/>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row>
    <row r="60" spans="1:53">
      <c r="A60" s="159"/>
      <c r="B60" s="304"/>
      <c r="C60" s="305"/>
      <c r="D60" s="308"/>
      <c r="E60" s="308"/>
      <c r="F60" s="314"/>
      <c r="G60" s="103" t="s">
        <v>180</v>
      </c>
      <c r="H60" s="102" t="s">
        <v>180</v>
      </c>
      <c r="I60" s="102" t="s">
        <v>180</v>
      </c>
      <c r="J60" s="102" t="s">
        <v>180</v>
      </c>
      <c r="K60" s="102" t="s">
        <v>180</v>
      </c>
      <c r="L60" s="103" t="s">
        <v>180</v>
      </c>
      <c r="M60" s="102" t="s">
        <v>180</v>
      </c>
      <c r="N60" s="102" t="s">
        <v>180</v>
      </c>
      <c r="O60" s="102" t="s">
        <v>180</v>
      </c>
      <c r="P60" s="102" t="s">
        <v>180</v>
      </c>
      <c r="Q60" s="103" t="s">
        <v>180</v>
      </c>
      <c r="R60" s="102" t="s">
        <v>180</v>
      </c>
      <c r="S60" s="102" t="s">
        <v>180</v>
      </c>
      <c r="T60" s="102" t="s">
        <v>180</v>
      </c>
      <c r="U60" s="102" t="s">
        <v>180</v>
      </c>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row>
    <row r="61" spans="1:53">
      <c r="A61" s="159"/>
      <c r="B61" s="304"/>
      <c r="C61" s="305"/>
      <c r="D61" s="308" t="s">
        <v>189</v>
      </c>
      <c r="E61" s="308"/>
      <c r="F61" s="314" t="s">
        <v>189</v>
      </c>
      <c r="G61" s="92"/>
      <c r="H61" s="101"/>
      <c r="I61" s="101"/>
      <c r="J61" s="101"/>
      <c r="K61" s="101"/>
      <c r="L61" s="92"/>
      <c r="M61" s="101"/>
      <c r="N61" s="101"/>
      <c r="O61" s="101"/>
      <c r="P61" s="101"/>
      <c r="Q61" s="92"/>
      <c r="R61" s="101"/>
      <c r="S61" s="101"/>
      <c r="T61" s="101"/>
      <c r="U61" s="101"/>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row>
    <row r="62" spans="1:53">
      <c r="A62" s="159"/>
      <c r="B62" s="306"/>
      <c r="C62" s="307"/>
      <c r="D62" s="308"/>
      <c r="E62" s="308"/>
      <c r="F62" s="314"/>
      <c r="G62" s="102" t="s">
        <v>180</v>
      </c>
      <c r="H62" s="102" t="s">
        <v>180</v>
      </c>
      <c r="I62" s="102" t="s">
        <v>180</v>
      </c>
      <c r="J62" s="102" t="s">
        <v>180</v>
      </c>
      <c r="K62" s="102" t="s">
        <v>180</v>
      </c>
      <c r="L62" s="102" t="s">
        <v>180</v>
      </c>
      <c r="M62" s="102" t="s">
        <v>180</v>
      </c>
      <c r="N62" s="102" t="s">
        <v>180</v>
      </c>
      <c r="O62" s="102" t="s">
        <v>180</v>
      </c>
      <c r="P62" s="102" t="s">
        <v>180</v>
      </c>
      <c r="Q62" s="102" t="s">
        <v>180</v>
      </c>
      <c r="R62" s="102" t="s">
        <v>180</v>
      </c>
      <c r="S62" s="102" t="s">
        <v>180</v>
      </c>
      <c r="T62" s="102" t="s">
        <v>180</v>
      </c>
      <c r="U62" s="102" t="s">
        <v>180</v>
      </c>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row>
    <row r="63" spans="1:53" ht="40.5" customHeight="1">
      <c r="A63" s="159"/>
      <c r="B63" s="236" t="s">
        <v>210</v>
      </c>
      <c r="C63" s="236"/>
      <c r="D63" s="296" t="s">
        <v>211</v>
      </c>
      <c r="E63" s="296"/>
      <c r="F63" s="296"/>
      <c r="G63" s="296"/>
      <c r="H63" s="296"/>
      <c r="I63" s="296"/>
      <c r="J63" s="296"/>
      <c r="K63" s="296"/>
      <c r="L63" s="296"/>
      <c r="M63" s="296"/>
      <c r="N63" s="296"/>
      <c r="O63" s="296"/>
      <c r="P63" s="296"/>
      <c r="Q63" s="296"/>
      <c r="R63" s="296"/>
      <c r="S63" s="296"/>
      <c r="T63" s="296"/>
      <c r="U63" s="296"/>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BA63" s="106" t="str">
        <f>D63</f>
        <v>Explain here</v>
      </c>
    </row>
    <row r="64" spans="1:53" ht="21" customHeight="1">
      <c r="A64" s="159"/>
      <c r="B64" s="292" t="s">
        <v>212</v>
      </c>
      <c r="C64" s="292"/>
      <c r="D64" s="292"/>
      <c r="E64" s="292"/>
      <c r="F64" s="292"/>
      <c r="G64" s="292"/>
      <c r="H64" s="292"/>
      <c r="I64" s="292"/>
      <c r="J64" s="292"/>
      <c r="K64" s="292"/>
      <c r="L64" s="292"/>
      <c r="M64" s="292"/>
      <c r="N64" s="292"/>
      <c r="O64" s="292"/>
      <c r="P64" s="292"/>
      <c r="Q64" s="292"/>
      <c r="R64" s="292"/>
      <c r="S64" s="292"/>
      <c r="T64" s="292"/>
      <c r="U64" s="292"/>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row>
    <row r="65" spans="1:53" ht="16.5" customHeight="1">
      <c r="A65" s="159"/>
      <c r="B65" s="333" t="s">
        <v>116</v>
      </c>
      <c r="C65" s="333"/>
      <c r="D65" s="301" t="s">
        <v>213</v>
      </c>
      <c r="E65" s="301"/>
      <c r="F65" s="301" t="s">
        <v>202</v>
      </c>
      <c r="G65" s="256" t="s">
        <v>182</v>
      </c>
      <c r="H65" s="256"/>
      <c r="I65" s="256"/>
      <c r="J65" s="256"/>
      <c r="K65" s="256"/>
      <c r="L65" s="283">
        <v>2030</v>
      </c>
      <c r="M65" s="283"/>
      <c r="N65" s="283"/>
      <c r="O65" s="283"/>
      <c r="P65" s="283"/>
      <c r="Q65" s="256">
        <v>2050</v>
      </c>
      <c r="R65" s="256"/>
      <c r="S65" s="256"/>
      <c r="T65" s="256"/>
      <c r="U65" s="256"/>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row>
    <row r="66" spans="1:53" ht="15.75" customHeight="1">
      <c r="A66" s="159"/>
      <c r="B66" s="333"/>
      <c r="C66" s="333"/>
      <c r="D66" s="301"/>
      <c r="E66" s="301"/>
      <c r="F66" s="301"/>
      <c r="G66" s="154" t="s">
        <v>174</v>
      </c>
      <c r="H66" s="154" t="s">
        <v>175</v>
      </c>
      <c r="I66" s="154" t="s">
        <v>176</v>
      </c>
      <c r="J66" s="154" t="s">
        <v>177</v>
      </c>
      <c r="K66" s="154" t="s">
        <v>178</v>
      </c>
      <c r="L66" s="155" t="s">
        <v>174</v>
      </c>
      <c r="M66" s="155" t="s">
        <v>175</v>
      </c>
      <c r="N66" s="155" t="s">
        <v>176</v>
      </c>
      <c r="O66" s="155" t="s">
        <v>177</v>
      </c>
      <c r="P66" s="155" t="s">
        <v>178</v>
      </c>
      <c r="Q66" s="154" t="s">
        <v>174</v>
      </c>
      <c r="R66" s="154" t="s">
        <v>175</v>
      </c>
      <c r="S66" s="154" t="s">
        <v>176</v>
      </c>
      <c r="T66" s="154" t="s">
        <v>177</v>
      </c>
      <c r="U66" s="154" t="s">
        <v>178</v>
      </c>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row>
    <row r="67" spans="1:53" ht="15.75" customHeight="1">
      <c r="A67" s="159"/>
      <c r="B67" s="333"/>
      <c r="C67" s="333"/>
      <c r="D67" s="308" t="s">
        <v>188</v>
      </c>
      <c r="E67" s="308"/>
      <c r="F67" s="332" t="s">
        <v>188</v>
      </c>
      <c r="G67" s="92"/>
      <c r="H67" s="101"/>
      <c r="I67" s="101"/>
      <c r="J67" s="101"/>
      <c r="K67" s="101"/>
      <c r="L67" s="92"/>
      <c r="M67" s="101"/>
      <c r="N67" s="101"/>
      <c r="O67" s="101"/>
      <c r="P67" s="101"/>
      <c r="Q67" s="92"/>
      <c r="R67" s="101"/>
      <c r="S67" s="101"/>
      <c r="T67" s="101"/>
      <c r="U67" s="101"/>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row>
    <row r="68" spans="1:53" ht="15.75" customHeight="1">
      <c r="A68" s="159"/>
      <c r="B68" s="333"/>
      <c r="C68" s="333"/>
      <c r="D68" s="308"/>
      <c r="E68" s="308"/>
      <c r="F68" s="332"/>
      <c r="G68" s="103" t="s">
        <v>180</v>
      </c>
      <c r="H68" s="102" t="s">
        <v>180</v>
      </c>
      <c r="I68" s="102" t="s">
        <v>180</v>
      </c>
      <c r="J68" s="102" t="s">
        <v>180</v>
      </c>
      <c r="K68" s="102" t="s">
        <v>180</v>
      </c>
      <c r="L68" s="103" t="s">
        <v>180</v>
      </c>
      <c r="M68" s="102" t="s">
        <v>180</v>
      </c>
      <c r="N68" s="102" t="s">
        <v>180</v>
      </c>
      <c r="O68" s="102" t="s">
        <v>180</v>
      </c>
      <c r="P68" s="102" t="s">
        <v>180</v>
      </c>
      <c r="Q68" s="103" t="s">
        <v>180</v>
      </c>
      <c r="R68" s="102" t="s">
        <v>180</v>
      </c>
      <c r="S68" s="102" t="s">
        <v>180</v>
      </c>
      <c r="T68" s="102" t="s">
        <v>180</v>
      </c>
      <c r="U68" s="102" t="s">
        <v>180</v>
      </c>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row>
    <row r="69" spans="1:53" ht="15.75" customHeight="1">
      <c r="A69" s="159"/>
      <c r="B69" s="333"/>
      <c r="C69" s="333"/>
      <c r="D69" s="308" t="s">
        <v>188</v>
      </c>
      <c r="E69" s="308"/>
      <c r="F69" s="332" t="s">
        <v>188</v>
      </c>
      <c r="G69" s="92"/>
      <c r="H69" s="101"/>
      <c r="I69" s="101"/>
      <c r="J69" s="101"/>
      <c r="K69" s="101"/>
      <c r="L69" s="92"/>
      <c r="M69" s="101"/>
      <c r="N69" s="101"/>
      <c r="O69" s="101"/>
      <c r="P69" s="101"/>
      <c r="Q69" s="92"/>
      <c r="R69" s="101"/>
      <c r="S69" s="101"/>
      <c r="T69" s="101"/>
      <c r="U69" s="101"/>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row>
    <row r="70" spans="1:53" ht="15.75" customHeight="1">
      <c r="A70" s="159"/>
      <c r="B70" s="333"/>
      <c r="C70" s="333"/>
      <c r="D70" s="308"/>
      <c r="E70" s="308"/>
      <c r="F70" s="332"/>
      <c r="G70" s="102" t="s">
        <v>180</v>
      </c>
      <c r="H70" s="102" t="s">
        <v>180</v>
      </c>
      <c r="I70" s="102" t="s">
        <v>180</v>
      </c>
      <c r="J70" s="102" t="s">
        <v>180</v>
      </c>
      <c r="K70" s="102" t="s">
        <v>180</v>
      </c>
      <c r="L70" s="102" t="s">
        <v>180</v>
      </c>
      <c r="M70" s="102" t="s">
        <v>180</v>
      </c>
      <c r="N70" s="102" t="s">
        <v>180</v>
      </c>
      <c r="O70" s="102" t="s">
        <v>180</v>
      </c>
      <c r="P70" s="102" t="s">
        <v>180</v>
      </c>
      <c r="Q70" s="102" t="s">
        <v>180</v>
      </c>
      <c r="R70" s="102" t="s">
        <v>180</v>
      </c>
      <c r="S70" s="102" t="s">
        <v>180</v>
      </c>
      <c r="T70" s="102" t="s">
        <v>180</v>
      </c>
      <c r="U70" s="102" t="s">
        <v>180</v>
      </c>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row>
    <row r="71" spans="1:53" ht="15.75" customHeight="1">
      <c r="A71" s="159"/>
      <c r="B71" s="333"/>
      <c r="C71" s="333"/>
      <c r="D71" s="308" t="s">
        <v>188</v>
      </c>
      <c r="E71" s="308"/>
      <c r="F71" s="332" t="s">
        <v>188</v>
      </c>
      <c r="G71" s="92"/>
      <c r="H71" s="101"/>
      <c r="I71" s="101"/>
      <c r="J71" s="101"/>
      <c r="K71" s="101"/>
      <c r="L71" s="92"/>
      <c r="M71" s="101"/>
      <c r="N71" s="101"/>
      <c r="O71" s="101"/>
      <c r="P71" s="101"/>
      <c r="Q71" s="92"/>
      <c r="R71" s="101"/>
      <c r="S71" s="101"/>
      <c r="T71" s="101"/>
      <c r="U71" s="101"/>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row>
    <row r="72" spans="1:53" ht="15.75" customHeight="1">
      <c r="A72" s="159"/>
      <c r="B72" s="333"/>
      <c r="C72" s="333"/>
      <c r="D72" s="308"/>
      <c r="E72" s="308"/>
      <c r="F72" s="332"/>
      <c r="G72" s="102" t="s">
        <v>180</v>
      </c>
      <c r="H72" s="102" t="s">
        <v>180</v>
      </c>
      <c r="I72" s="102" t="s">
        <v>180</v>
      </c>
      <c r="J72" s="102" t="s">
        <v>180</v>
      </c>
      <c r="K72" s="102" t="s">
        <v>180</v>
      </c>
      <c r="L72" s="102" t="s">
        <v>180</v>
      </c>
      <c r="M72" s="102" t="s">
        <v>180</v>
      </c>
      <c r="N72" s="102" t="s">
        <v>180</v>
      </c>
      <c r="O72" s="102" t="s">
        <v>180</v>
      </c>
      <c r="P72" s="102" t="s">
        <v>180</v>
      </c>
      <c r="Q72" s="102" t="s">
        <v>180</v>
      </c>
      <c r="R72" s="102" t="s">
        <v>180</v>
      </c>
      <c r="S72" s="102" t="s">
        <v>180</v>
      </c>
      <c r="T72" s="102" t="s">
        <v>180</v>
      </c>
      <c r="U72" s="102" t="s">
        <v>180</v>
      </c>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row>
    <row r="73" spans="1:53" ht="15.75" customHeight="1">
      <c r="A73" s="159"/>
      <c r="B73" s="333"/>
      <c r="C73" s="333"/>
      <c r="D73" s="308" t="s">
        <v>188</v>
      </c>
      <c r="E73" s="308"/>
      <c r="F73" s="332" t="s">
        <v>188</v>
      </c>
      <c r="G73" s="92"/>
      <c r="H73" s="101"/>
      <c r="I73" s="101"/>
      <c r="J73" s="101"/>
      <c r="K73" s="101"/>
      <c r="L73" s="92"/>
      <c r="M73" s="101"/>
      <c r="N73" s="101"/>
      <c r="O73" s="101"/>
      <c r="P73" s="101"/>
      <c r="Q73" s="92"/>
      <c r="R73" s="101"/>
      <c r="S73" s="101"/>
      <c r="T73" s="101"/>
      <c r="U73" s="101"/>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row>
    <row r="74" spans="1:53" ht="16.5" customHeight="1">
      <c r="A74" s="159"/>
      <c r="B74" s="333"/>
      <c r="C74" s="333"/>
      <c r="D74" s="308"/>
      <c r="E74" s="308"/>
      <c r="F74" s="332"/>
      <c r="G74" s="102" t="s">
        <v>180</v>
      </c>
      <c r="H74" s="102" t="s">
        <v>180</v>
      </c>
      <c r="I74" s="102" t="s">
        <v>180</v>
      </c>
      <c r="J74" s="102" t="s">
        <v>180</v>
      </c>
      <c r="K74" s="102" t="s">
        <v>180</v>
      </c>
      <c r="L74" s="102" t="s">
        <v>180</v>
      </c>
      <c r="M74" s="102" t="s">
        <v>180</v>
      </c>
      <c r="N74" s="102" t="s">
        <v>180</v>
      </c>
      <c r="O74" s="102" t="s">
        <v>180</v>
      </c>
      <c r="P74" s="102" t="s">
        <v>180</v>
      </c>
      <c r="Q74" s="102" t="s">
        <v>180</v>
      </c>
      <c r="R74" s="102" t="s">
        <v>180</v>
      </c>
      <c r="S74" s="102" t="s">
        <v>180</v>
      </c>
      <c r="T74" s="102" t="s">
        <v>180</v>
      </c>
      <c r="U74" s="102" t="s">
        <v>180</v>
      </c>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row>
    <row r="75" spans="1:53" ht="40.5" customHeight="1">
      <c r="A75" s="159"/>
      <c r="B75" s="236" t="s">
        <v>214</v>
      </c>
      <c r="C75" s="236"/>
      <c r="D75" s="253" t="s">
        <v>215</v>
      </c>
      <c r="E75" s="254"/>
      <c r="F75" s="254"/>
      <c r="G75" s="254"/>
      <c r="H75" s="254"/>
      <c r="I75" s="254"/>
      <c r="J75" s="254"/>
      <c r="K75" s="254"/>
      <c r="L75" s="254"/>
      <c r="M75" s="254"/>
      <c r="N75" s="254"/>
      <c r="O75" s="254"/>
      <c r="P75" s="254"/>
      <c r="Q75" s="254"/>
      <c r="R75" s="254"/>
      <c r="S75" s="254"/>
      <c r="T75" s="254"/>
      <c r="U75" s="255"/>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BA75" s="106" t="str">
        <f>D75</f>
        <v>Explain here (e.g. emission factors if calculated)</v>
      </c>
    </row>
    <row r="76" spans="1:53" ht="21" customHeight="1">
      <c r="A76" s="159"/>
      <c r="B76" s="323" t="s">
        <v>216</v>
      </c>
      <c r="C76" s="324"/>
      <c r="D76" s="324"/>
      <c r="E76" s="324"/>
      <c r="F76" s="324"/>
      <c r="G76" s="324"/>
      <c r="H76" s="324"/>
      <c r="I76" s="324"/>
      <c r="J76" s="324"/>
      <c r="K76" s="324"/>
      <c r="L76" s="324"/>
      <c r="M76" s="324"/>
      <c r="N76" s="324"/>
      <c r="O76" s="324"/>
      <c r="P76" s="324"/>
      <c r="Q76" s="324"/>
      <c r="R76" s="324"/>
      <c r="S76" s="324"/>
      <c r="T76" s="324"/>
      <c r="U76" s="325"/>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row>
    <row r="77" spans="1:53" ht="15.75" customHeight="1">
      <c r="A77" s="159"/>
      <c r="B77" s="302" t="s">
        <v>217</v>
      </c>
      <c r="C77" s="303"/>
      <c r="D77" s="326" t="s">
        <v>190</v>
      </c>
      <c r="E77" s="327"/>
      <c r="F77" s="328"/>
      <c r="G77" s="256" t="s">
        <v>182</v>
      </c>
      <c r="H77" s="256"/>
      <c r="I77" s="256"/>
      <c r="J77" s="256"/>
      <c r="K77" s="256"/>
      <c r="L77" s="283">
        <v>2030</v>
      </c>
      <c r="M77" s="283"/>
      <c r="N77" s="283"/>
      <c r="O77" s="283"/>
      <c r="P77" s="283"/>
      <c r="Q77" s="256">
        <v>2050</v>
      </c>
      <c r="R77" s="256"/>
      <c r="S77" s="256"/>
      <c r="T77" s="256"/>
      <c r="U77" s="256"/>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row>
    <row r="78" spans="1:53">
      <c r="A78" s="159"/>
      <c r="B78" s="304"/>
      <c r="C78" s="305"/>
      <c r="D78" s="329"/>
      <c r="E78" s="330"/>
      <c r="F78" s="331"/>
      <c r="G78" s="154" t="s">
        <v>174</v>
      </c>
      <c r="H78" s="154" t="s">
        <v>175</v>
      </c>
      <c r="I78" s="154" t="s">
        <v>176</v>
      </c>
      <c r="J78" s="154" t="s">
        <v>177</v>
      </c>
      <c r="K78" s="154" t="s">
        <v>178</v>
      </c>
      <c r="L78" s="155" t="s">
        <v>174</v>
      </c>
      <c r="M78" s="155" t="s">
        <v>175</v>
      </c>
      <c r="N78" s="155" t="s">
        <v>176</v>
      </c>
      <c r="O78" s="155" t="s">
        <v>177</v>
      </c>
      <c r="P78" s="155" t="s">
        <v>178</v>
      </c>
      <c r="Q78" s="154" t="s">
        <v>174</v>
      </c>
      <c r="R78" s="154" t="s">
        <v>175</v>
      </c>
      <c r="S78" s="154" t="s">
        <v>176</v>
      </c>
      <c r="T78" s="154" t="s">
        <v>177</v>
      </c>
      <c r="U78" s="154" t="s">
        <v>178</v>
      </c>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row>
    <row r="79" spans="1:53">
      <c r="A79" s="159"/>
      <c r="B79" s="304"/>
      <c r="C79" s="305"/>
      <c r="D79" s="242" t="s">
        <v>189</v>
      </c>
      <c r="E79" s="243"/>
      <c r="F79" s="244"/>
      <c r="G79" s="101"/>
      <c r="H79" s="101"/>
      <c r="I79" s="101"/>
      <c r="J79" s="101"/>
      <c r="K79" s="101"/>
      <c r="L79" s="101"/>
      <c r="M79" s="101"/>
      <c r="N79" s="101"/>
      <c r="O79" s="101"/>
      <c r="P79" s="101"/>
      <c r="Q79" s="101"/>
      <c r="R79" s="101"/>
      <c r="S79" s="101"/>
      <c r="T79" s="101"/>
      <c r="U79" s="101"/>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row>
    <row r="80" spans="1:53">
      <c r="A80" s="159"/>
      <c r="B80" s="306"/>
      <c r="C80" s="307"/>
      <c r="D80" s="245"/>
      <c r="E80" s="246"/>
      <c r="F80" s="247"/>
      <c r="G80" s="102" t="s">
        <v>180</v>
      </c>
      <c r="H80" s="102" t="s">
        <v>180</v>
      </c>
      <c r="I80" s="102" t="s">
        <v>180</v>
      </c>
      <c r="J80" s="102" t="s">
        <v>180</v>
      </c>
      <c r="K80" s="102" t="s">
        <v>180</v>
      </c>
      <c r="L80" s="102" t="s">
        <v>180</v>
      </c>
      <c r="M80" s="102" t="s">
        <v>180</v>
      </c>
      <c r="N80" s="102" t="s">
        <v>180</v>
      </c>
      <c r="O80" s="102" t="s">
        <v>180</v>
      </c>
      <c r="P80" s="102" t="s">
        <v>180</v>
      </c>
      <c r="Q80" s="102" t="s">
        <v>180</v>
      </c>
      <c r="R80" s="102" t="s">
        <v>180</v>
      </c>
      <c r="S80" s="102" t="s">
        <v>180</v>
      </c>
      <c r="T80" s="102" t="s">
        <v>180</v>
      </c>
      <c r="U80" s="102" t="s">
        <v>180</v>
      </c>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row>
    <row r="81" spans="1:53" ht="21" customHeight="1">
      <c r="A81" s="159"/>
      <c r="B81" s="323" t="s">
        <v>120</v>
      </c>
      <c r="C81" s="324"/>
      <c r="D81" s="324"/>
      <c r="E81" s="324"/>
      <c r="F81" s="324"/>
      <c r="G81" s="324"/>
      <c r="H81" s="324"/>
      <c r="I81" s="324"/>
      <c r="J81" s="324"/>
      <c r="K81" s="324"/>
      <c r="L81" s="324"/>
      <c r="M81" s="324"/>
      <c r="N81" s="324"/>
      <c r="O81" s="324"/>
      <c r="P81" s="324"/>
      <c r="Q81" s="324"/>
      <c r="R81" s="324"/>
      <c r="S81" s="324"/>
      <c r="T81" s="324"/>
      <c r="U81" s="325"/>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row>
    <row r="82" spans="1:53" ht="15" customHeight="1">
      <c r="A82" s="159"/>
      <c r="B82" s="80">
        <v>1</v>
      </c>
      <c r="C82" s="337" t="s">
        <v>218</v>
      </c>
      <c r="D82" s="337"/>
      <c r="E82" s="337"/>
      <c r="F82" s="337"/>
      <c r="G82" s="337"/>
      <c r="H82" s="337"/>
      <c r="I82" s="337"/>
      <c r="J82" s="337"/>
      <c r="K82" s="337"/>
      <c r="L82" s="337"/>
      <c r="M82" s="337"/>
      <c r="N82" s="337"/>
      <c r="O82" s="337"/>
      <c r="P82" s="337"/>
      <c r="Q82" s="337"/>
      <c r="R82" s="337"/>
      <c r="S82" s="337"/>
      <c r="T82" s="337"/>
      <c r="U82" s="337"/>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BA82" s="106" t="str">
        <f>C82</f>
        <v>SDE+ Eindadvies 2019</v>
      </c>
    </row>
    <row r="83" spans="1:53" ht="15" customHeight="1">
      <c r="A83" s="159"/>
      <c r="B83" s="80">
        <v>2</v>
      </c>
      <c r="C83" s="337" t="s">
        <v>219</v>
      </c>
      <c r="D83" s="337"/>
      <c r="E83" s="337"/>
      <c r="F83" s="337"/>
      <c r="G83" s="337"/>
      <c r="H83" s="337"/>
      <c r="I83" s="337"/>
      <c r="J83" s="337"/>
      <c r="K83" s="337"/>
      <c r="L83" s="337"/>
      <c r="M83" s="337"/>
      <c r="N83" s="337"/>
      <c r="O83" s="337"/>
      <c r="P83" s="337"/>
      <c r="Q83" s="337"/>
      <c r="R83" s="337"/>
      <c r="S83" s="337"/>
      <c r="T83" s="337"/>
      <c r="U83" s="337"/>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BA83" s="106" t="str">
        <f>C83</f>
        <v>DHV, 2017. Biomassapotentieel in Nederland. Verkennende studie naar vrij beschikbaar biomassapotentieel voor energieopwekking in Nederland. Paula Schulze, Johan Holstein, Harm Vlap. GCS.17.R.10032629.2</v>
      </c>
    </row>
    <row r="84" spans="1:53" ht="15" customHeight="1">
      <c r="A84" s="159"/>
      <c r="B84" s="80">
        <v>3</v>
      </c>
      <c r="C84" s="337" t="s">
        <v>220</v>
      </c>
      <c r="D84" s="337"/>
      <c r="E84" s="337"/>
      <c r="F84" s="337"/>
      <c r="G84" s="337"/>
      <c r="H84" s="337"/>
      <c r="I84" s="337"/>
      <c r="J84" s="337"/>
      <c r="K84" s="337"/>
      <c r="L84" s="337"/>
      <c r="M84" s="337"/>
      <c r="N84" s="337"/>
      <c r="O84" s="337"/>
      <c r="P84" s="337"/>
      <c r="Q84" s="337"/>
      <c r="R84" s="337"/>
      <c r="S84" s="337"/>
      <c r="T84" s="337"/>
      <c r="U84" s="337"/>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BA84" s="106" t="str">
        <f>C84</f>
        <v xml:space="preserve">Elbersen et. al.2015. Biomass potential in the Netherlands (as part of the biomass Policies project). </v>
      </c>
    </row>
    <row r="85" spans="1:53" ht="15" customHeight="1">
      <c r="A85" s="159"/>
      <c r="B85" s="80">
        <v>4</v>
      </c>
      <c r="C85" s="337"/>
      <c r="D85" s="337"/>
      <c r="E85" s="337"/>
      <c r="F85" s="337"/>
      <c r="G85" s="337"/>
      <c r="H85" s="337"/>
      <c r="I85" s="337"/>
      <c r="J85" s="337"/>
      <c r="K85" s="337"/>
      <c r="L85" s="337"/>
      <c r="M85" s="337"/>
      <c r="N85" s="337"/>
      <c r="O85" s="337"/>
      <c r="P85" s="337"/>
      <c r="Q85" s="337"/>
      <c r="R85" s="337"/>
      <c r="S85" s="337"/>
      <c r="T85" s="337"/>
      <c r="U85" s="337"/>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BA85" s="106"/>
    </row>
    <row r="86" spans="1:53" ht="15" customHeight="1">
      <c r="A86" s="159"/>
      <c r="B86" s="80">
        <v>5</v>
      </c>
      <c r="C86" s="337"/>
      <c r="D86" s="337"/>
      <c r="E86" s="337"/>
      <c r="F86" s="337"/>
      <c r="G86" s="337"/>
      <c r="H86" s="337"/>
      <c r="I86" s="337"/>
      <c r="J86" s="337"/>
      <c r="K86" s="337"/>
      <c r="L86" s="337"/>
      <c r="M86" s="337"/>
      <c r="N86" s="337"/>
      <c r="O86" s="337"/>
      <c r="P86" s="337"/>
      <c r="Q86" s="337"/>
      <c r="R86" s="337"/>
      <c r="S86" s="337"/>
      <c r="T86" s="337"/>
      <c r="U86" s="337"/>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BA86" s="106"/>
    </row>
    <row r="87" spans="1:53">
      <c r="A87" s="159"/>
      <c r="B87" s="80">
        <v>6</v>
      </c>
      <c r="C87" s="334"/>
      <c r="D87" s="335"/>
      <c r="E87" s="335"/>
      <c r="F87" s="335"/>
      <c r="G87" s="335"/>
      <c r="H87" s="335"/>
      <c r="I87" s="335"/>
      <c r="J87" s="335"/>
      <c r="K87" s="335"/>
      <c r="L87" s="335"/>
      <c r="M87" s="335"/>
      <c r="N87" s="335"/>
      <c r="O87" s="335"/>
      <c r="P87" s="335"/>
      <c r="Q87" s="335"/>
      <c r="R87" s="335"/>
      <c r="S87" s="335"/>
      <c r="T87" s="335"/>
      <c r="U87" s="336"/>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BA87" s="106">
        <f t="shared" ref="BA87:BA91" si="2">C87</f>
        <v>0</v>
      </c>
    </row>
    <row r="88" spans="1:53">
      <c r="A88" s="159"/>
      <c r="B88" s="80">
        <v>7</v>
      </c>
      <c r="C88" s="334"/>
      <c r="D88" s="335"/>
      <c r="E88" s="335"/>
      <c r="F88" s="335"/>
      <c r="G88" s="335"/>
      <c r="H88" s="335"/>
      <c r="I88" s="335"/>
      <c r="J88" s="335"/>
      <c r="K88" s="335"/>
      <c r="L88" s="335"/>
      <c r="M88" s="335"/>
      <c r="N88" s="335"/>
      <c r="O88" s="335"/>
      <c r="P88" s="335"/>
      <c r="Q88" s="335"/>
      <c r="R88" s="335"/>
      <c r="S88" s="335"/>
      <c r="T88" s="335"/>
      <c r="U88" s="336"/>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BA88" s="106">
        <f t="shared" si="2"/>
        <v>0</v>
      </c>
    </row>
    <row r="89" spans="1:53">
      <c r="A89" s="159"/>
      <c r="B89" s="80">
        <v>8</v>
      </c>
      <c r="C89" s="337"/>
      <c r="D89" s="337"/>
      <c r="E89" s="337"/>
      <c r="F89" s="337"/>
      <c r="G89" s="337"/>
      <c r="H89" s="337"/>
      <c r="I89" s="337"/>
      <c r="J89" s="337"/>
      <c r="K89" s="337"/>
      <c r="L89" s="337"/>
      <c r="M89" s="337"/>
      <c r="N89" s="337"/>
      <c r="O89" s="337"/>
      <c r="P89" s="337"/>
      <c r="Q89" s="337"/>
      <c r="R89" s="337"/>
      <c r="S89" s="337"/>
      <c r="T89" s="337"/>
      <c r="U89" s="337"/>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BA89" s="106">
        <f t="shared" si="2"/>
        <v>0</v>
      </c>
    </row>
    <row r="90" spans="1:53">
      <c r="A90" s="159"/>
      <c r="B90" s="80">
        <v>9</v>
      </c>
      <c r="C90" s="337"/>
      <c r="D90" s="337"/>
      <c r="E90" s="337"/>
      <c r="F90" s="337"/>
      <c r="G90" s="337"/>
      <c r="H90" s="337"/>
      <c r="I90" s="337"/>
      <c r="J90" s="337"/>
      <c r="K90" s="337"/>
      <c r="L90" s="337"/>
      <c r="M90" s="337"/>
      <c r="N90" s="337"/>
      <c r="O90" s="337"/>
      <c r="P90" s="337"/>
      <c r="Q90" s="337"/>
      <c r="R90" s="337"/>
      <c r="S90" s="337"/>
      <c r="T90" s="337"/>
      <c r="U90" s="337"/>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BA90" s="106">
        <f t="shared" si="2"/>
        <v>0</v>
      </c>
    </row>
    <row r="91" spans="1:53">
      <c r="A91" s="159"/>
      <c r="B91" s="338" t="s">
        <v>221</v>
      </c>
      <c r="C91" s="337" t="s">
        <v>222</v>
      </c>
      <c r="D91" s="337"/>
      <c r="E91" s="337"/>
      <c r="F91" s="337"/>
      <c r="G91" s="337"/>
      <c r="H91" s="337"/>
      <c r="I91" s="337"/>
      <c r="J91" s="337"/>
      <c r="K91" s="337"/>
      <c r="L91" s="337"/>
      <c r="M91" s="337"/>
      <c r="N91" s="337"/>
      <c r="O91" s="337"/>
      <c r="P91" s="337"/>
      <c r="Q91" s="337"/>
      <c r="R91" s="337"/>
      <c r="S91" s="337"/>
      <c r="T91" s="337"/>
      <c r="U91" s="337"/>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BA91" s="106" t="str">
        <f t="shared" si="2"/>
        <v>Add other sources here</v>
      </c>
    </row>
    <row r="92" spans="1:53">
      <c r="A92" s="159"/>
      <c r="B92" s="338"/>
      <c r="C92" s="337"/>
      <c r="D92" s="337"/>
      <c r="E92" s="337"/>
      <c r="F92" s="337"/>
      <c r="G92" s="337"/>
      <c r="H92" s="337"/>
      <c r="I92" s="337"/>
      <c r="J92" s="337"/>
      <c r="K92" s="337"/>
      <c r="L92" s="337"/>
      <c r="M92" s="337"/>
      <c r="N92" s="337"/>
      <c r="O92" s="337"/>
      <c r="P92" s="337"/>
      <c r="Q92" s="337"/>
      <c r="R92" s="337"/>
      <c r="S92" s="337"/>
      <c r="T92" s="337"/>
      <c r="U92" s="337"/>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row>
    <row r="93" spans="1:53">
      <c r="A93" s="159"/>
      <c r="B93" s="338"/>
      <c r="C93" s="337"/>
      <c r="D93" s="337"/>
      <c r="E93" s="337"/>
      <c r="F93" s="337"/>
      <c r="G93" s="337"/>
      <c r="H93" s="337"/>
      <c r="I93" s="337"/>
      <c r="J93" s="337"/>
      <c r="K93" s="337"/>
      <c r="L93" s="337"/>
      <c r="M93" s="337"/>
      <c r="N93" s="337"/>
      <c r="O93" s="337"/>
      <c r="P93" s="337"/>
      <c r="Q93" s="337"/>
      <c r="R93" s="337"/>
      <c r="S93" s="337"/>
      <c r="T93" s="337"/>
      <c r="U93" s="337"/>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row>
  </sheetData>
  <mergeCells count="134">
    <mergeCell ref="C87:U87"/>
    <mergeCell ref="C88:U88"/>
    <mergeCell ref="C89:U89"/>
    <mergeCell ref="C90:U90"/>
    <mergeCell ref="B91:B93"/>
    <mergeCell ref="C91:U93"/>
    <mergeCell ref="B81:U81"/>
    <mergeCell ref="C82:U82"/>
    <mergeCell ref="C83:U83"/>
    <mergeCell ref="C84:U84"/>
    <mergeCell ref="C85:U85"/>
    <mergeCell ref="C86:U86"/>
    <mergeCell ref="B76:U76"/>
    <mergeCell ref="B77:C80"/>
    <mergeCell ref="D77:F78"/>
    <mergeCell ref="G77:K77"/>
    <mergeCell ref="L77:P77"/>
    <mergeCell ref="Q77:U77"/>
    <mergeCell ref="D79:F80"/>
    <mergeCell ref="D71:E72"/>
    <mergeCell ref="F71:F72"/>
    <mergeCell ref="D73:E74"/>
    <mergeCell ref="F73:F74"/>
    <mergeCell ref="B75:C75"/>
    <mergeCell ref="D75:U75"/>
    <mergeCell ref="B65:C74"/>
    <mergeCell ref="D65:E66"/>
    <mergeCell ref="F65:F66"/>
    <mergeCell ref="G65:K65"/>
    <mergeCell ref="L65:P65"/>
    <mergeCell ref="Q65:U65"/>
    <mergeCell ref="D67:E68"/>
    <mergeCell ref="F67:F68"/>
    <mergeCell ref="D69:E70"/>
    <mergeCell ref="F69:F70"/>
    <mergeCell ref="F59:F60"/>
    <mergeCell ref="D61:E62"/>
    <mergeCell ref="F61:F62"/>
    <mergeCell ref="B63:C63"/>
    <mergeCell ref="D63:U63"/>
    <mergeCell ref="B64:U64"/>
    <mergeCell ref="B55:C55"/>
    <mergeCell ref="D55:U55"/>
    <mergeCell ref="B56:U56"/>
    <mergeCell ref="B57:C62"/>
    <mergeCell ref="D57:E58"/>
    <mergeCell ref="F57:F58"/>
    <mergeCell ref="G57:K57"/>
    <mergeCell ref="L57:P57"/>
    <mergeCell ref="Q57:U57"/>
    <mergeCell ref="D59:E60"/>
    <mergeCell ref="B47:C54"/>
    <mergeCell ref="D47:E48"/>
    <mergeCell ref="F47:F48"/>
    <mergeCell ref="D49:E50"/>
    <mergeCell ref="F49:F50"/>
    <mergeCell ref="D51:E52"/>
    <mergeCell ref="F51:F52"/>
    <mergeCell ref="D53:E54"/>
    <mergeCell ref="F53:F54"/>
    <mergeCell ref="B43:C43"/>
    <mergeCell ref="D43:U43"/>
    <mergeCell ref="B44:U44"/>
    <mergeCell ref="B45:C46"/>
    <mergeCell ref="D45:E46"/>
    <mergeCell ref="F45:F46"/>
    <mergeCell ref="G45:K45"/>
    <mergeCell ref="L45:P45"/>
    <mergeCell ref="Q45:U45"/>
    <mergeCell ref="B39:C40"/>
    <mergeCell ref="D39:D40"/>
    <mergeCell ref="E39:F40"/>
    <mergeCell ref="B41:C42"/>
    <mergeCell ref="D41:D42"/>
    <mergeCell ref="E41:F42"/>
    <mergeCell ref="B34:U34"/>
    <mergeCell ref="B35:F36"/>
    <mergeCell ref="G35:K35"/>
    <mergeCell ref="L35:P35"/>
    <mergeCell ref="Q35:U35"/>
    <mergeCell ref="B37:C38"/>
    <mergeCell ref="D37:D38"/>
    <mergeCell ref="E37:F38"/>
    <mergeCell ref="B31:C31"/>
    <mergeCell ref="D31:K31"/>
    <mergeCell ref="B32:C32"/>
    <mergeCell ref="D32:K32"/>
    <mergeCell ref="B33:C33"/>
    <mergeCell ref="D33:K33"/>
    <mergeCell ref="B28:C28"/>
    <mergeCell ref="D28:K28"/>
    <mergeCell ref="B29:C29"/>
    <mergeCell ref="D29:K29"/>
    <mergeCell ref="B30:C30"/>
    <mergeCell ref="D30:K30"/>
    <mergeCell ref="B24:C25"/>
    <mergeCell ref="D24:E25"/>
    <mergeCell ref="F24:F25"/>
    <mergeCell ref="B26:C26"/>
    <mergeCell ref="D26:K26"/>
    <mergeCell ref="B27:C27"/>
    <mergeCell ref="D27:K27"/>
    <mergeCell ref="G20:K20"/>
    <mergeCell ref="L20:P20"/>
    <mergeCell ref="Q20:U20"/>
    <mergeCell ref="B21:C23"/>
    <mergeCell ref="D21:E23"/>
    <mergeCell ref="F21:F23"/>
    <mergeCell ref="B17:C17"/>
    <mergeCell ref="D17:F17"/>
    <mergeCell ref="B18:C19"/>
    <mergeCell ref="D18:F19"/>
    <mergeCell ref="B20:C20"/>
    <mergeCell ref="D20:E20"/>
    <mergeCell ref="B14:K14"/>
    <mergeCell ref="B15:C16"/>
    <mergeCell ref="D15:K16"/>
    <mergeCell ref="B9:C9"/>
    <mergeCell ref="D9:K9"/>
    <mergeCell ref="B10:C10"/>
    <mergeCell ref="D10:K10"/>
    <mergeCell ref="B11:C11"/>
    <mergeCell ref="D11:K11"/>
    <mergeCell ref="B4:K4"/>
    <mergeCell ref="B5:C5"/>
    <mergeCell ref="D5:K5"/>
    <mergeCell ref="B6:C6"/>
    <mergeCell ref="D6:K6"/>
    <mergeCell ref="B7:C8"/>
    <mergeCell ref="D7:K7"/>
    <mergeCell ref="D8:K8"/>
    <mergeCell ref="B12:C13"/>
    <mergeCell ref="D12:K12"/>
    <mergeCell ref="D13:K13"/>
  </mergeCells>
  <conditionalFormatting sqref="D7">
    <cfRule type="containsText" dxfId="258" priority="101" operator="containsText" text="Please select">
      <formula>NOT(ISERROR(SEARCH("Please select",D7)))</formula>
    </cfRule>
  </conditionalFormatting>
  <conditionalFormatting sqref="D8 L8:O8">
    <cfRule type="containsText" dxfId="257" priority="100" operator="containsText" text="Other (specify here)">
      <formula>NOT(ISERROR(SEARCH("Other (specify here)",D8)))</formula>
    </cfRule>
  </conditionalFormatting>
  <conditionalFormatting sqref="D9">
    <cfRule type="containsText" dxfId="256" priority="99" operator="containsText" text="Please select">
      <formula>NOT(ISERROR(SEARCH("Please select",D9)))</formula>
    </cfRule>
  </conditionalFormatting>
  <conditionalFormatting sqref="L10:O10">
    <cfRule type="containsText" dxfId="255" priority="98" operator="containsText" text="Specify here">
      <formula>NOT(ISERROR(SEARCH("Specify here",L10)))</formula>
    </cfRule>
  </conditionalFormatting>
  <conditionalFormatting sqref="D11 L11:O11">
    <cfRule type="containsText" dxfId="254" priority="97" operator="containsText" text="Specify here">
      <formula>NOT(ISERROR(SEARCH("Specify here",D11)))</formula>
    </cfRule>
  </conditionalFormatting>
  <conditionalFormatting sqref="D6 L6:O6">
    <cfRule type="containsText" dxfId="253" priority="96" operator="containsText" text="DD-MM-YYYY">
      <formula>NOT(ISERROR(SEARCH("DD-MM-YYYY",D6)))</formula>
    </cfRule>
  </conditionalFormatting>
  <conditionalFormatting sqref="D12 L12:O12">
    <cfRule type="containsText" dxfId="252" priority="93" operator="containsText" text="Select the observed or expected TRL level in 2020">
      <formula>NOT(ISERROR(SEARCH("Select the observed or expected TRL level in 2020",D12)))</formula>
    </cfRule>
    <cfRule type="containsText" dxfId="251" priority="95" operator="containsText" text="Specify here the observed or expected TRL level in 2020">
      <formula>NOT(ISERROR(SEARCH("Specify here the observed or expected TRL level in 2020",D12)))</formula>
    </cfRule>
  </conditionalFormatting>
  <conditionalFormatting sqref="D13 L13:O13">
    <cfRule type="containsText" dxfId="250" priority="94" operator="containsText" text="Explain here">
      <formula>NOT(ISERROR(SEARCH("Explain here",D13)))</formula>
    </cfRule>
  </conditionalFormatting>
  <conditionalFormatting sqref="D32 D30">
    <cfRule type="containsText" dxfId="249" priority="92" operator="containsText" text="Please select">
      <formula>NOT(ISERROR(SEARCH("Please select",D30)))</formula>
    </cfRule>
  </conditionalFormatting>
  <conditionalFormatting sqref="D30 L30:O30">
    <cfRule type="containsText" dxfId="248" priority="91" operator="containsText" text="Specify here">
      <formula>NOT(ISERROR(SEARCH("Specify here",D30)))</formula>
    </cfRule>
  </conditionalFormatting>
  <conditionalFormatting sqref="L27:O28">
    <cfRule type="containsText" dxfId="247" priority="90" operator="containsText" text="Specify here">
      <formula>NOT(ISERROR(SEARCH("Specify here",L27)))</formula>
    </cfRule>
  </conditionalFormatting>
  <conditionalFormatting sqref="L26:O28">
    <cfRule type="containsText" dxfId="246" priority="89" operator="containsText" text="Specify here">
      <formula>NOT(ISERROR(SEARCH("Specify here",L26)))</formula>
    </cfRule>
  </conditionalFormatting>
  <conditionalFormatting sqref="L31:O31">
    <cfRule type="containsText" dxfId="245" priority="88" operator="containsText" text="Specify here">
      <formula>NOT(ISERROR(SEARCH("Specify here",L31)))</formula>
    </cfRule>
  </conditionalFormatting>
  <conditionalFormatting sqref="D33 L33:O33">
    <cfRule type="containsText" dxfId="244" priority="87" operator="containsText" text="Explain here (e.g. other technical dimensions, region covered for potential such as NL or EU)">
      <formula>NOT(ISERROR(SEARCH("Explain here (e.g. other technical dimensions, region covered for potential such as NL or EU)",D33)))</formula>
    </cfRule>
  </conditionalFormatting>
  <conditionalFormatting sqref="L5:O5">
    <cfRule type="containsText" dxfId="243" priority="86" operator="containsText" text="Specify technology option name here">
      <formula>NOT(ISERROR(SEARCH("Specify technology option name here",L5)))</formula>
    </cfRule>
  </conditionalFormatting>
  <conditionalFormatting sqref="D18">
    <cfRule type="containsText" dxfId="242" priority="85" operator="containsText" text="Select Functional Unit above">
      <formula>NOT(ISERROR(SEARCH("Select Functional Unit above",D18)))</formula>
    </cfRule>
  </conditionalFormatting>
  <conditionalFormatting sqref="D47">
    <cfRule type="containsText" dxfId="241" priority="83" operator="containsText" text="Select">
      <formula>NOT(ISERROR(SEARCH("Select",D47)))</formula>
    </cfRule>
  </conditionalFormatting>
  <conditionalFormatting sqref="D43">
    <cfRule type="containsText" dxfId="240" priority="84" operator="containsText" text="Explain here (e.g. other costs)">
      <formula>NOT(ISERROR(SEARCH("Explain here (e.g. other costs)",D43)))</formula>
    </cfRule>
  </conditionalFormatting>
  <conditionalFormatting sqref="D69">
    <cfRule type="containsText" dxfId="239" priority="74" operator="containsText" text="Select">
      <formula>NOT(ISERROR(SEARCH("Select",D69)))</formula>
    </cfRule>
  </conditionalFormatting>
  <conditionalFormatting sqref="D71">
    <cfRule type="containsText" dxfId="238" priority="73" operator="containsText" text="Select">
      <formula>NOT(ISERROR(SEARCH("Select",D71)))</formula>
    </cfRule>
  </conditionalFormatting>
  <conditionalFormatting sqref="D49">
    <cfRule type="containsText" dxfId="237" priority="82" operator="containsText" text="Select">
      <formula>NOT(ISERROR(SEARCH("Select",D49)))</formula>
    </cfRule>
  </conditionalFormatting>
  <conditionalFormatting sqref="D73">
    <cfRule type="containsText" dxfId="236" priority="72" operator="containsText" text="Select">
      <formula>NOT(ISERROR(SEARCH("Select",D73)))</formula>
    </cfRule>
  </conditionalFormatting>
  <conditionalFormatting sqref="D51">
    <cfRule type="containsText" dxfId="235" priority="81" operator="containsText" text="Select">
      <formula>NOT(ISERROR(SEARCH("Select",D51)))</formula>
    </cfRule>
  </conditionalFormatting>
  <conditionalFormatting sqref="D53">
    <cfRule type="containsText" dxfId="234" priority="80" operator="containsText" text="Select">
      <formula>NOT(ISERROR(SEARCH("Select",D53)))</formula>
    </cfRule>
  </conditionalFormatting>
  <conditionalFormatting sqref="F47:F54">
    <cfRule type="containsText" dxfId="233" priority="79" operator="containsText" text="Please select">
      <formula>NOT(ISERROR(SEARCH("Please select",F47)))</formula>
    </cfRule>
  </conditionalFormatting>
  <conditionalFormatting sqref="D55">
    <cfRule type="containsText" dxfId="232" priority="78" operator="containsText" text="Explain here (e.g. flexible in and out)">
      <formula>NOT(ISERROR(SEARCH("Explain here (e.g. flexible in and out)",D55)))</formula>
    </cfRule>
  </conditionalFormatting>
  <conditionalFormatting sqref="D59">
    <cfRule type="containsText" dxfId="231" priority="77" operator="containsText" text="Select">
      <formula>NOT(ISERROR(SEARCH("Select",D59)))</formula>
    </cfRule>
  </conditionalFormatting>
  <conditionalFormatting sqref="D63">
    <cfRule type="containsText" dxfId="230" priority="76" operator="containsText" text="Explain here">
      <formula>NOT(ISERROR(SEARCH("Explain here",D63)))</formula>
    </cfRule>
  </conditionalFormatting>
  <conditionalFormatting sqref="D67">
    <cfRule type="containsText" dxfId="229" priority="75" operator="containsText" text="Select">
      <formula>NOT(ISERROR(SEARCH("Select",D67)))</formula>
    </cfRule>
  </conditionalFormatting>
  <conditionalFormatting sqref="F67:F74">
    <cfRule type="containsText" dxfId="228" priority="71" operator="containsText" text="Please select">
      <formula>NOT(ISERROR(SEARCH("Please select",F67)))</formula>
    </cfRule>
  </conditionalFormatting>
  <conditionalFormatting sqref="D75">
    <cfRule type="containsText" dxfId="227" priority="70" operator="containsText" text="Explain here">
      <formula>NOT(ISERROR(SEARCH("Explain here",D75)))</formula>
    </cfRule>
  </conditionalFormatting>
  <conditionalFormatting sqref="D79">
    <cfRule type="containsText" dxfId="226" priority="69" operator="containsText" text="Specify here">
      <formula>NOT(ISERROR(SEARCH("Specify here",D79)))</formula>
    </cfRule>
  </conditionalFormatting>
  <conditionalFormatting sqref="B82 B84:B85 B87:B88 B90">
    <cfRule type="containsText" dxfId="225" priority="68" operator="containsText" text="Specify data sources and references here">
      <formula>NOT(ISERROR(SEARCH("Specify data sources and references here",B82)))</formula>
    </cfRule>
  </conditionalFormatting>
  <conditionalFormatting sqref="D27">
    <cfRule type="containsText" dxfId="224" priority="67" operator="containsText" text="Please select">
      <formula>NOT(ISERROR(SEARCH("Please select",D27)))</formula>
    </cfRule>
  </conditionalFormatting>
  <conditionalFormatting sqref="D27">
    <cfRule type="containsText" dxfId="223" priority="66" operator="containsText" text="Specify here">
      <formula>NOT(ISERROR(SEARCH("Specify here",D27)))</formula>
    </cfRule>
  </conditionalFormatting>
  <conditionalFormatting sqref="D26:D27">
    <cfRule type="containsText" dxfId="222" priority="65" operator="containsText" text="Specify here (if not specified, value will be 1)">
      <formula>NOT(ISERROR(SEARCH("Specify here (if not specified, value will be 1)",D26)))</formula>
    </cfRule>
  </conditionalFormatting>
  <conditionalFormatting sqref="D31">
    <cfRule type="containsText" dxfId="221" priority="64" operator="containsText" text="Please select">
      <formula>NOT(ISERROR(SEARCH("Please select",D31)))</formula>
    </cfRule>
  </conditionalFormatting>
  <conditionalFormatting sqref="D31">
    <cfRule type="containsText" dxfId="220" priority="63" operator="containsText" text="Specify here">
      <formula>NOT(ISERROR(SEARCH("Specify here",D31)))</formula>
    </cfRule>
  </conditionalFormatting>
  <conditionalFormatting sqref="G42:K42 G38:K38 G40:K40">
    <cfRule type="containsText" dxfId="219" priority="62" operator="containsText" text="Reference">
      <formula>NOT(ISERROR(SEARCH("Reference",G38)))</formula>
    </cfRule>
  </conditionalFormatting>
  <conditionalFormatting sqref="M42:P42">
    <cfRule type="containsText" dxfId="218" priority="61" operator="containsText" text="Reference">
      <formula>NOT(ISERROR(SEARCH("Reference",M42)))</formula>
    </cfRule>
  </conditionalFormatting>
  <conditionalFormatting sqref="T40:U40 R42:U42 T38:U38">
    <cfRule type="containsText" dxfId="217" priority="60" operator="containsText" text="Reference">
      <formula>NOT(ISERROR(SEARCH("Reference",R38)))</formula>
    </cfRule>
  </conditionalFormatting>
  <conditionalFormatting sqref="E37">
    <cfRule type="containsText" dxfId="216" priority="59" operator="containsText" text="Please select 'Functional Unit' above">
      <formula>NOT(ISERROR(SEARCH("Please select 'Functional Unit' above",E37)))</formula>
    </cfRule>
  </conditionalFormatting>
  <conditionalFormatting sqref="H50:K50 H52:K52 H54:K54 H48:K48">
    <cfRule type="containsText" dxfId="215" priority="58" operator="containsText" text="Reference">
      <formula>NOT(ISERROR(SEARCH("Reference",H48)))</formula>
    </cfRule>
  </conditionalFormatting>
  <conditionalFormatting sqref="M50:P50 M52:P52 M54:P54 M48:P48">
    <cfRule type="containsText" dxfId="214" priority="57" operator="containsText" text="Reference">
      <formula>NOT(ISERROR(SEARCH("Reference",M48)))</formula>
    </cfRule>
  </conditionalFormatting>
  <conditionalFormatting sqref="R50:U50 R52:U52 R54:U54 R48:U48">
    <cfRule type="containsText" dxfId="213" priority="56" operator="containsText" text="Reference">
      <formula>NOT(ISERROR(SEARCH("Reference",R48)))</formula>
    </cfRule>
  </conditionalFormatting>
  <conditionalFormatting sqref="H70:K70 H72:K72 H74:K74 H68:K68">
    <cfRule type="containsText" dxfId="212" priority="55" operator="containsText" text="Reference">
      <formula>NOT(ISERROR(SEARCH("Reference",H68)))</formula>
    </cfRule>
  </conditionalFormatting>
  <conditionalFormatting sqref="M70:P70 M72:P72 M74:P74 M68:P68">
    <cfRule type="containsText" dxfId="211" priority="54" operator="containsText" text="Reference">
      <formula>NOT(ISERROR(SEARCH("Reference",M68)))</formula>
    </cfRule>
  </conditionalFormatting>
  <conditionalFormatting sqref="R70:U70 R72:U72 R74:U74 R68:U68">
    <cfRule type="containsText" dxfId="210" priority="53" operator="containsText" text="Reference">
      <formula>NOT(ISERROR(SEARCH("Reference",R68)))</formula>
    </cfRule>
  </conditionalFormatting>
  <conditionalFormatting sqref="G62:K62 H60:K60">
    <cfRule type="containsText" dxfId="209" priority="52" operator="containsText" text="Reference">
      <formula>NOT(ISERROR(SEARCH("Reference",G60)))</formula>
    </cfRule>
  </conditionalFormatting>
  <conditionalFormatting sqref="L62:P62 M60:P60">
    <cfRule type="containsText" dxfId="208" priority="51" operator="containsText" text="Reference">
      <formula>NOT(ISERROR(SEARCH("Reference",L60)))</formula>
    </cfRule>
  </conditionalFormatting>
  <conditionalFormatting sqref="Q62:U62 R60:U60">
    <cfRule type="containsText" dxfId="207" priority="50" operator="containsText" text="Reference">
      <formula>NOT(ISERROR(SEARCH("Reference",Q60)))</formula>
    </cfRule>
  </conditionalFormatting>
  <conditionalFormatting sqref="G80:K80">
    <cfRule type="containsText" dxfId="206" priority="49" operator="containsText" text="Reference">
      <formula>NOT(ISERROR(SEARCH("Reference",G80)))</formula>
    </cfRule>
  </conditionalFormatting>
  <conditionalFormatting sqref="L80:P80">
    <cfRule type="containsText" dxfId="205" priority="48" operator="containsText" text="Reference">
      <formula>NOT(ISERROR(SEARCH("Reference",L80)))</formula>
    </cfRule>
  </conditionalFormatting>
  <conditionalFormatting sqref="Q80:U80">
    <cfRule type="containsText" dxfId="204" priority="47" operator="containsText" text="Reference">
      <formula>NOT(ISERROR(SEARCH("Reference",Q80)))</formula>
    </cfRule>
  </conditionalFormatting>
  <conditionalFormatting sqref="D5">
    <cfRule type="containsText" dxfId="203" priority="46" operator="containsText" text="Please select">
      <formula>NOT(ISERROR(SEARCH("Please select",D5)))</formula>
    </cfRule>
  </conditionalFormatting>
  <conditionalFormatting sqref="D5">
    <cfRule type="containsText" dxfId="202" priority="45" operator="containsText" text="Specify here">
      <formula>NOT(ISERROR(SEARCH("Specify here",D5)))</formula>
    </cfRule>
  </conditionalFormatting>
  <conditionalFormatting sqref="D10">
    <cfRule type="containsText" dxfId="201" priority="44" operator="containsText" text="Please select">
      <formula>NOT(ISERROR(SEARCH("Please select",D10)))</formula>
    </cfRule>
  </conditionalFormatting>
  <conditionalFormatting sqref="D15">
    <cfRule type="containsText" dxfId="200" priority="42" operator="containsText" text="Please select">
      <formula>NOT(ISERROR(SEARCH("Please select",D15)))</formula>
    </cfRule>
    <cfRule type="containsText" dxfId="199" priority="43" operator="containsText" text="Please select 'Functional Unit' above">
      <formula>NOT(ISERROR(SEARCH("Please select 'Functional Unit' above",D15)))</formula>
    </cfRule>
  </conditionalFormatting>
  <conditionalFormatting sqref="D21">
    <cfRule type="containsText" dxfId="198" priority="41" operator="containsText" text="Select Functional Unit above">
      <formula>NOT(ISERROR(SEARCH("Select Functional Unit above",D21)))</formula>
    </cfRule>
  </conditionalFormatting>
  <conditionalFormatting sqref="D28">
    <cfRule type="containsText" dxfId="197" priority="40" operator="containsText" text="Please select">
      <formula>NOT(ISERROR(SEARCH("Please select",D28)))</formula>
    </cfRule>
  </conditionalFormatting>
  <conditionalFormatting sqref="E39 E41">
    <cfRule type="containsText" dxfId="196" priority="39" operator="containsText" text="Please select 'Functional Unit' above">
      <formula>NOT(ISERROR(SEARCH("Please select 'Functional Unit' above",E39)))</formula>
    </cfRule>
  </conditionalFormatting>
  <conditionalFormatting sqref="G50 G52 G54 G48">
    <cfRule type="containsText" dxfId="195" priority="38" operator="containsText" text="Reference">
      <formula>NOT(ISERROR(SEARCH("Reference",G48)))</formula>
    </cfRule>
  </conditionalFormatting>
  <conditionalFormatting sqref="L50 L52 L54 L48">
    <cfRule type="containsText" dxfId="194" priority="37" operator="containsText" text="Reference">
      <formula>NOT(ISERROR(SEARCH("Reference",L48)))</formula>
    </cfRule>
  </conditionalFormatting>
  <conditionalFormatting sqref="Q50 Q52 Q54 Q48">
    <cfRule type="containsText" dxfId="193" priority="36" operator="containsText" text="Reference">
      <formula>NOT(ISERROR(SEARCH("Reference",Q48)))</formula>
    </cfRule>
  </conditionalFormatting>
  <conditionalFormatting sqref="D61">
    <cfRule type="containsText" dxfId="192" priority="35" operator="containsText" text="Select">
      <formula>NOT(ISERROR(SEARCH("Select",D61)))</formula>
    </cfRule>
  </conditionalFormatting>
  <conditionalFormatting sqref="D59:F62">
    <cfRule type="containsText" dxfId="191" priority="34" operator="containsText" text="Specify here">
      <formula>NOT(ISERROR(SEARCH("Specify here",D59)))</formula>
    </cfRule>
  </conditionalFormatting>
  <conditionalFormatting sqref="G60">
    <cfRule type="containsText" dxfId="190" priority="33" operator="containsText" text="Reference">
      <formula>NOT(ISERROR(SEARCH("Reference",G60)))</formula>
    </cfRule>
  </conditionalFormatting>
  <conditionalFormatting sqref="L60">
    <cfRule type="containsText" dxfId="189" priority="32" operator="containsText" text="Reference">
      <formula>NOT(ISERROR(SEARCH("Reference",L60)))</formula>
    </cfRule>
  </conditionalFormatting>
  <conditionalFormatting sqref="Q60">
    <cfRule type="containsText" dxfId="188" priority="31" operator="containsText" text="Reference">
      <formula>NOT(ISERROR(SEARCH("Reference",Q60)))</formula>
    </cfRule>
  </conditionalFormatting>
  <conditionalFormatting sqref="G70 G72 G74 G68">
    <cfRule type="containsText" dxfId="187" priority="30" operator="containsText" text="Reference">
      <formula>NOT(ISERROR(SEARCH("Reference",G68)))</formula>
    </cfRule>
  </conditionalFormatting>
  <conditionalFormatting sqref="L70 L72 L74 L68">
    <cfRule type="containsText" dxfId="186" priority="29" operator="containsText" text="Reference">
      <formula>NOT(ISERROR(SEARCH("Reference",L68)))</formula>
    </cfRule>
  </conditionalFormatting>
  <conditionalFormatting sqref="Q70 Q72 Q74 Q68">
    <cfRule type="containsText" dxfId="185" priority="28" operator="containsText" text="Reference">
      <formula>NOT(ISERROR(SEARCH("Reference",Q68)))</formula>
    </cfRule>
  </conditionalFormatting>
  <conditionalFormatting sqref="B83 B86 B89">
    <cfRule type="containsText" dxfId="184" priority="27" operator="containsText" text="Specify data sources and references here">
      <formula>NOT(ISERROR(SEARCH("Specify data sources and references here",B83)))</formula>
    </cfRule>
  </conditionalFormatting>
  <conditionalFormatting sqref="C91:U93">
    <cfRule type="containsText" dxfId="183" priority="26" operator="containsText" text="Add other sources here">
      <formula>NOT(ISERROR(SEARCH("Add other sources here",C91)))</formula>
    </cfRule>
  </conditionalFormatting>
  <conditionalFormatting sqref="D24">
    <cfRule type="containsText" dxfId="182" priority="25" operator="containsText" text="Select Functional Unit above">
      <formula>NOT(ISERROR(SEARCH("Select Functional Unit above",D24)))</formula>
    </cfRule>
  </conditionalFormatting>
  <conditionalFormatting sqref="F21">
    <cfRule type="containsText" dxfId="181" priority="24" operator="containsText" text="Please select the region">
      <formula>NOT(ISERROR(SEARCH("Please select the region",F21)))</formula>
    </cfRule>
  </conditionalFormatting>
  <conditionalFormatting sqref="F24:F25">
    <cfRule type="containsText" dxfId="180" priority="23" operator="containsText" text="Specify here the market">
      <formula>NOT(ISERROR(SEARCH("Specify here the market",F24)))</formula>
    </cfRule>
  </conditionalFormatting>
  <conditionalFormatting sqref="G19:K19">
    <cfRule type="containsText" dxfId="179" priority="22" operator="containsText" text="Reference">
      <formula>NOT(ISERROR(SEARCH("Reference",G19)))</formula>
    </cfRule>
  </conditionalFormatting>
  <conditionalFormatting sqref="I23:K23">
    <cfRule type="containsText" dxfId="178" priority="21" operator="containsText" text="Reference">
      <formula>NOT(ISERROR(SEARCH("Reference",I23)))</formula>
    </cfRule>
  </conditionalFormatting>
  <conditionalFormatting sqref="G25:K25">
    <cfRule type="containsText" dxfId="177" priority="20" operator="containsText" text="Reference">
      <formula>NOT(ISERROR(SEARCH("Reference",G25)))</formula>
    </cfRule>
  </conditionalFormatting>
  <conditionalFormatting sqref="G38:K38 G42:K42 G48:U48 G50:U50 G52:U52 G54:U54 G60:U60 G62:U62 G68:U68 G70:U70 G72:U72 G74:U74 G80:U80 T38:U38 T40:U40 M42:P42 R42:U42 G40:K40">
    <cfRule type="containsText" dxfId="176" priority="19" operator="containsText" text="Reference">
      <formula>NOT(ISERROR(SEARCH("Reference",G38)))</formula>
    </cfRule>
  </conditionalFormatting>
  <conditionalFormatting sqref="L25:P25 O23:P23">
    <cfRule type="containsText" dxfId="175" priority="18" operator="containsText" text="Reference">
      <formula>NOT(ISERROR(SEARCH("Reference",L23)))</formula>
    </cfRule>
  </conditionalFormatting>
  <conditionalFormatting sqref="Q25:U25 Q23:U23">
    <cfRule type="containsText" dxfId="174" priority="17" operator="containsText" text="Reference">
      <formula>NOT(ISERROR(SEARCH("Reference",Q23)))</formula>
    </cfRule>
  </conditionalFormatting>
  <conditionalFormatting sqref="O23:U23 L25:U25">
    <cfRule type="containsText" dxfId="173" priority="16" operator="containsText" text="Reference">
      <formula>NOT(ISERROR(SEARCH("Reference",L23)))</formula>
    </cfRule>
  </conditionalFormatting>
  <conditionalFormatting sqref="D29">
    <cfRule type="containsText" dxfId="172" priority="15" operator="containsText" text="Please select">
      <formula>NOT(ISERROR(SEARCH("Please select",D29)))</formula>
    </cfRule>
  </conditionalFormatting>
  <conditionalFormatting sqref="D29">
    <cfRule type="containsText" dxfId="171" priority="14" operator="containsText" text="Specify here">
      <formula>NOT(ISERROR(SEARCH("Specify here",D29)))</formula>
    </cfRule>
  </conditionalFormatting>
  <conditionalFormatting sqref="G23:H23">
    <cfRule type="containsText" dxfId="170" priority="13" operator="containsText" text="Reference">
      <formula>NOT(ISERROR(SEARCH("Reference",G23)))</formula>
    </cfRule>
  </conditionalFormatting>
  <conditionalFormatting sqref="N23">
    <cfRule type="containsText" dxfId="169" priority="12" operator="containsText" text="Reference">
      <formula>NOT(ISERROR(SEARCH("Reference",N23)))</formula>
    </cfRule>
  </conditionalFormatting>
  <conditionalFormatting sqref="L23:M23">
    <cfRule type="containsText" dxfId="168" priority="11" operator="containsText" text="Reference">
      <formula>NOT(ISERROR(SEARCH("Reference",L23)))</formula>
    </cfRule>
  </conditionalFormatting>
  <conditionalFormatting sqref="M38:P38">
    <cfRule type="containsText" dxfId="167" priority="10" operator="containsText" text="Reference">
      <formula>NOT(ISERROR(SEARCH("Reference",M38)))</formula>
    </cfRule>
  </conditionalFormatting>
  <conditionalFormatting sqref="R38:S38">
    <cfRule type="containsText" dxfId="166" priority="9" operator="containsText" text="Reference">
      <formula>NOT(ISERROR(SEARCH("Reference",R38)))</formula>
    </cfRule>
  </conditionalFormatting>
  <conditionalFormatting sqref="M38:P38 R38:S38">
    <cfRule type="containsText" dxfId="165" priority="8" operator="containsText" text="Reference">
      <formula>NOT(ISERROR(SEARCH("Reference",M38)))</formula>
    </cfRule>
  </conditionalFormatting>
  <conditionalFormatting sqref="M38:N38">
    <cfRule type="containsText" dxfId="164" priority="7" operator="containsText" text="Reference">
      <formula>NOT(ISERROR(SEARCH("Reference",M38)))</formula>
    </cfRule>
  </conditionalFormatting>
  <conditionalFormatting sqref="L40:P40">
    <cfRule type="containsText" dxfId="163" priority="6" operator="containsText" text="Reference">
      <formula>NOT(ISERROR(SEARCH("Reference",L40)))</formula>
    </cfRule>
  </conditionalFormatting>
  <conditionalFormatting sqref="Q40">
    <cfRule type="containsText" dxfId="162" priority="5" operator="containsText" text="Reference">
      <formula>NOT(ISERROR(SEARCH("Reference",Q40)))</formula>
    </cfRule>
  </conditionalFormatting>
  <conditionalFormatting sqref="L40:Q40">
    <cfRule type="containsText" dxfId="161" priority="4" operator="containsText" text="Reference">
      <formula>NOT(ISERROR(SEARCH("Reference",L40)))</formula>
    </cfRule>
  </conditionalFormatting>
  <conditionalFormatting sqref="R40:S40">
    <cfRule type="containsText" dxfId="160" priority="3" operator="containsText" text="Reference">
      <formula>NOT(ISERROR(SEARCH("Reference",R40)))</formula>
    </cfRule>
  </conditionalFormatting>
  <conditionalFormatting sqref="R40:S40">
    <cfRule type="containsText" dxfId="159" priority="2" operator="containsText" text="Reference">
      <formula>NOT(ISERROR(SEARCH("Reference",R40)))</formula>
    </cfRule>
  </conditionalFormatting>
  <conditionalFormatting sqref="C83:U83">
    <cfRule type="containsText" dxfId="158" priority="1" operator="containsText" text="Specify complete references and data sources used here">
      <formula>NOT(ISERROR(SEARCH("Specify complete references and data sources used here",C83)))</formula>
    </cfRule>
  </conditionalFormatting>
  <dataValidations count="7">
    <dataValidation type="list" allowBlank="1" showInputMessage="1" showErrorMessage="1" prompt="More details are found in 'READ ME' tab" sqref="L12:O12" xr:uid="{CD80F02C-593B-4C4D-8BC1-7CE01BE1E710}">
      <formula1>$C$17:$C$29</formula1>
    </dataValidation>
    <dataValidation type="list" allowBlank="1" showInputMessage="1" showErrorMessage="1" sqref="L7:O7" xr:uid="{4604AED4-6EEA-4089-B650-06D55DDC12B6}">
      <formula1>$B$3:$B$24</formula1>
    </dataValidation>
    <dataValidation type="list" allowBlank="1" showInputMessage="1" showErrorMessage="1" sqref="L10:O10" xr:uid="{363D1755-B7C6-4DF5-9991-41D0011C3215}">
      <formula1>$D$3:$D$14</formula1>
    </dataValidation>
    <dataValidation type="list" allowBlank="1" showInputMessage="1" showErrorMessage="1" sqref="L9:O9" xr:uid="{351E3B15-E820-4331-8EF4-9C54B3E4B76F}">
      <formula1>$X$1:$X$4</formula1>
    </dataValidation>
    <dataValidation type="list" allowBlank="1" showInputMessage="1" showErrorMessage="1" sqref="L32:O32" xr:uid="{D58B1F1B-902A-4FAF-9325-CA47F04E4A1D}">
      <formula1>$X$6:$X$8</formula1>
    </dataValidation>
    <dataValidation type="textLength" operator="lessThanOrEqual" allowBlank="1" showInputMessage="1" showErrorMessage="1" error="The cell only allows up to 700 characters._x000a_" prompt="Maximum length: 700 characters" sqref="L11:O11" xr:uid="{F9634E27-CE50-45DE-A225-BC19DBC2B7B6}">
      <formula1>700</formula1>
    </dataValidation>
    <dataValidation allowBlank="1" showInputMessage="1" showErrorMessage="1" prompt="More details are found in 'READ ME' tab" sqref="L13:O13 D13" xr:uid="{5E9BAC83-E6FB-4C19-97CE-3836EFB37017}"/>
  </dataValidations>
  <pageMargins left="0.7" right="0.7" top="0.75" bottom="0.75" header="0.3" footer="0.3"/>
  <pageSetup paperSize="9" scale="27" orientation="landscape" r:id="rId1"/>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8B7181F4-609B-4BA2-9F69-857C3BD18F1B}">
          <x14:formula1>
            <xm:f>List!$J$3:$J$69</xm:f>
          </x14:formula1>
          <xm:sqref>D49:E54</xm:sqref>
        </x14:dataValidation>
        <x14:dataValidation type="list" allowBlank="1" showInputMessage="1" showErrorMessage="1" xr:uid="{D8322502-C006-45BF-80D7-6F7E3859B891}">
          <x14:formula1>
            <xm:f>List!$X$10:$X$13</xm:f>
          </x14:formula1>
          <xm:sqref>F21</xm:sqref>
        </x14:dataValidation>
        <x14:dataValidation type="list" allowBlank="1" showInputMessage="1" showErrorMessage="1" xr:uid="{625DAFB4-59E3-4939-98CE-5799831C6E90}">
          <x14:formula1>
            <xm:f>List!$J$2:$J$75</xm:f>
          </x14:formula1>
          <xm:sqref>D47:E48</xm:sqref>
        </x14:dataValidation>
        <x14:dataValidation type="list" allowBlank="1" showInputMessage="1" showErrorMessage="1" xr:uid="{D48AE294-9AEF-4B95-B4D8-5B3A3E6DB953}">
          <x14:formula1>
            <xm:f>List!$P$3:$P$13</xm:f>
          </x14:formula1>
          <xm:sqref>D67:E74</xm:sqref>
        </x14:dataValidation>
        <x14:dataValidation type="list" allowBlank="1" showInputMessage="1" showErrorMessage="1" xr:uid="{F2F9A604-4A29-4DE8-8A93-D84CF7B4A85F}">
          <x14:formula1>
            <xm:f>List!$X$2:$X$4</xm:f>
          </x14:formula1>
          <xm:sqref>D9:K9</xm:sqref>
        </x14:dataValidation>
        <x14:dataValidation type="list" allowBlank="1" showInputMessage="1" showErrorMessage="1" xr:uid="{DBDBF051-94BB-4C67-83B3-DE3B3C05EB68}">
          <x14:formula1>
            <xm:f>List!$F$3:$F$17</xm:f>
          </x14:formula1>
          <xm:sqref>D15:K16</xm:sqref>
        </x14:dataValidation>
        <x14:dataValidation type="list" allowBlank="1" showInputMessage="1" showErrorMessage="1" xr:uid="{5DBA95BC-081D-4217-99D6-BC10BF3D3014}">
          <x14:formula1>
            <xm:f>List!$B$3:$B$26</xm:f>
          </x14:formula1>
          <xm:sqref>D7</xm:sqref>
        </x14:dataValidation>
        <x14:dataValidation type="list" allowBlank="1" showInputMessage="1" showErrorMessage="1" xr:uid="{21DCF0C9-8C61-4A51-ABD1-A990DDE27D36}">
          <x14:formula1>
            <xm:f>List!$H$3:$H$10</xm:f>
          </x14:formula1>
          <xm:sqref>D28</xm:sqref>
        </x14:dataValidation>
        <x14:dataValidation type="list" allowBlank="1" showInputMessage="1" showErrorMessage="1" xr:uid="{850B0BCB-A2E0-4C47-8854-B0DB447CF505}">
          <x14:formula1>
            <xm:f>List!$R$3:$R$6</xm:f>
          </x14:formula1>
          <xm:sqref>F67:F74</xm:sqref>
        </x14:dataValidation>
        <x14:dataValidation type="list" allowBlank="1" showInputMessage="1" showErrorMessage="1" xr:uid="{B9CA092B-BAD7-4E3D-9968-55E257E60B61}">
          <x14:formula1>
            <xm:f>List!$D$3:$D$17</xm:f>
          </x14:formula1>
          <xm:sqref>D10</xm:sqref>
        </x14:dataValidation>
        <x14:dataValidation type="list" allowBlank="1" showInputMessage="1" showErrorMessage="1" xr:uid="{25DF9B71-C758-4EF3-BB87-E9CE1B1F611C}">
          <x14:formula1>
            <xm:f>List!$X$6:$X$8</xm:f>
          </x14:formula1>
          <xm:sqref>D32</xm:sqref>
        </x14:dataValidation>
        <x14:dataValidation type="list" allowBlank="1" showInputMessage="1" showErrorMessage="1" prompt="More details are found in 'READ ME' tab" xr:uid="{9B40989A-0C7F-4ADC-95B9-8C23BF8298B4}">
          <x14:formula1>
            <xm:f>'READ ME'!$C$21:$C$29</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EE3EF-09FD-4F11-A259-A534F3E4DF41}">
  <sheetPr>
    <tabColor rgb="FF0070C0"/>
  </sheetPr>
  <dimension ref="A1:E14"/>
  <sheetViews>
    <sheetView workbookViewId="0">
      <selection activeCell="Q39" sqref="Q39"/>
    </sheetView>
  </sheetViews>
  <sheetFormatPr defaultRowHeight="15.75"/>
  <cols>
    <col min="2" max="2" width="29.125" customWidth="1"/>
    <col min="3" max="3" width="29.25" customWidth="1"/>
    <col min="4" max="4" width="13.375" customWidth="1"/>
    <col min="5" max="5" width="14.375" customWidth="1"/>
  </cols>
  <sheetData>
    <row r="1" spans="1:5">
      <c r="A1" t="s">
        <v>223</v>
      </c>
    </row>
    <row r="3" spans="1:5">
      <c r="B3" s="124" t="s">
        <v>224</v>
      </c>
      <c r="C3" s="124" t="s">
        <v>225</v>
      </c>
      <c r="D3" s="124" t="s">
        <v>226</v>
      </c>
      <c r="E3" s="124" t="s">
        <v>227</v>
      </c>
    </row>
    <row r="4" spans="1:5">
      <c r="B4" t="s">
        <v>228</v>
      </c>
      <c r="C4" t="s">
        <v>172</v>
      </c>
      <c r="D4" t="s">
        <v>229</v>
      </c>
      <c r="E4" t="s">
        <v>230</v>
      </c>
    </row>
    <row r="6" spans="1:5">
      <c r="B6" s="187" t="s">
        <v>231</v>
      </c>
    </row>
    <row r="7" spans="1:5">
      <c r="B7" t="s">
        <v>52</v>
      </c>
      <c r="C7">
        <v>16.667000000000002</v>
      </c>
      <c r="D7">
        <v>16.7</v>
      </c>
    </row>
    <row r="8" spans="1:5">
      <c r="B8" t="s">
        <v>232</v>
      </c>
      <c r="C8" t="s">
        <v>233</v>
      </c>
      <c r="D8">
        <v>0.49099999999999999</v>
      </c>
    </row>
    <row r="9" spans="1:5">
      <c r="B9" t="s">
        <v>234</v>
      </c>
      <c r="C9" t="s">
        <v>233</v>
      </c>
      <c r="D9">
        <v>0.49099999999999999</v>
      </c>
    </row>
    <row r="10" spans="1:5">
      <c r="B10" t="s">
        <v>235</v>
      </c>
      <c r="C10" t="s">
        <v>233</v>
      </c>
      <c r="D10">
        <v>0.49099999999999999</v>
      </c>
    </row>
    <row r="11" spans="1:5">
      <c r="B11" t="s">
        <v>236</v>
      </c>
      <c r="C11" t="s">
        <v>233</v>
      </c>
      <c r="D11">
        <v>2.63E-2</v>
      </c>
    </row>
    <row r="12" spans="1:5">
      <c r="B12" t="s">
        <v>237</v>
      </c>
      <c r="C12" t="s">
        <v>233</v>
      </c>
      <c r="D12">
        <v>2.63E-2</v>
      </c>
    </row>
    <row r="13" spans="1:5">
      <c r="B13" t="s">
        <v>238</v>
      </c>
      <c r="C13" t="s">
        <v>233</v>
      </c>
      <c r="D13">
        <v>2.63E-2</v>
      </c>
    </row>
    <row r="14" spans="1:5">
      <c r="B14" t="s">
        <v>239</v>
      </c>
      <c r="C14" t="s">
        <v>233</v>
      </c>
      <c r="D14">
        <v>2.6299999999999998E-6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BA93"/>
  <sheetViews>
    <sheetView topLeftCell="A32" zoomScale="80" zoomScaleNormal="80" workbookViewId="0">
      <selection activeCell="Q39" sqref="Q39"/>
    </sheetView>
  </sheetViews>
  <sheetFormatPr defaultColWidth="11" defaultRowHeight="15"/>
  <cols>
    <col min="1" max="1" width="4.5" style="72" customWidth="1"/>
    <col min="2" max="2" width="11" style="72"/>
    <col min="3" max="3" width="24.75" style="72" customWidth="1"/>
    <col min="4" max="5" width="12.5" style="72" customWidth="1"/>
    <col min="6" max="6" width="18.5" style="72" customWidth="1"/>
    <col min="7" max="21" width="12.5" style="72" customWidth="1"/>
    <col min="22" max="51" width="11" style="72"/>
    <col min="52" max="52" width="101.375" style="105" hidden="1" customWidth="1"/>
    <col min="53" max="53" width="182" style="105" hidden="1" customWidth="1"/>
    <col min="54" max="16384" width="11" style="72"/>
  </cols>
  <sheetData>
    <row r="1" spans="1:52" ht="21">
      <c r="A1" s="3" t="s">
        <v>160</v>
      </c>
      <c r="B1" s="159"/>
      <c r="C1" s="159"/>
      <c r="D1" s="98"/>
      <c r="E1" s="159"/>
      <c r="F1" s="159"/>
      <c r="G1" s="159"/>
      <c r="H1" s="159"/>
      <c r="I1" s="159"/>
      <c r="J1" s="159"/>
      <c r="K1" s="159"/>
      <c r="L1" s="159"/>
      <c r="M1" s="159"/>
      <c r="N1" s="159"/>
      <c r="O1" s="159"/>
      <c r="P1" s="159"/>
      <c r="Q1" s="159"/>
      <c r="R1" s="159"/>
      <c r="S1" s="159"/>
      <c r="T1" s="159"/>
      <c r="U1" s="159"/>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row>
    <row r="2" spans="1:52">
      <c r="A2" s="98" t="s">
        <v>161</v>
      </c>
      <c r="B2" s="159"/>
      <c r="C2" s="159"/>
      <c r="D2" s="98"/>
      <c r="E2" s="159"/>
      <c r="F2" s="159"/>
      <c r="G2" s="159"/>
      <c r="H2" s="159"/>
      <c r="I2" s="159"/>
      <c r="J2" s="159"/>
      <c r="K2" s="159"/>
      <c r="L2" s="159"/>
      <c r="M2" s="159"/>
      <c r="N2" s="159"/>
      <c r="O2" s="159"/>
      <c r="P2" s="159"/>
      <c r="Q2" s="159"/>
      <c r="R2" s="159"/>
      <c r="S2" s="159"/>
      <c r="T2" s="159"/>
      <c r="U2" s="159"/>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row>
    <row r="3" spans="1:52">
      <c r="A3" s="159"/>
      <c r="B3" s="159"/>
      <c r="C3" s="159"/>
      <c r="D3" s="159"/>
      <c r="E3" s="159"/>
      <c r="F3" s="159"/>
      <c r="G3" s="159"/>
      <c r="H3" s="159"/>
      <c r="I3" s="159"/>
      <c r="J3" s="159"/>
      <c r="K3" s="159"/>
      <c r="L3" s="159"/>
      <c r="M3" s="159"/>
      <c r="N3" s="159"/>
      <c r="O3" s="159"/>
      <c r="P3" s="159"/>
      <c r="Q3" s="159"/>
      <c r="R3" s="159"/>
      <c r="S3" s="159"/>
      <c r="T3" s="159"/>
      <c r="U3" s="159"/>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row>
    <row r="4" spans="1:52" ht="21" customHeight="1">
      <c r="A4" s="159"/>
      <c r="B4" s="219" t="s">
        <v>162</v>
      </c>
      <c r="C4" s="220"/>
      <c r="D4" s="220"/>
      <c r="E4" s="220"/>
      <c r="F4" s="220"/>
      <c r="G4" s="220"/>
      <c r="H4" s="220"/>
      <c r="I4" s="220"/>
      <c r="J4" s="220"/>
      <c r="K4" s="221"/>
      <c r="L4" s="74"/>
      <c r="M4" s="74"/>
      <c r="N4" s="74"/>
      <c r="O4" s="74"/>
      <c r="P4" s="159"/>
      <c r="Q4" s="159"/>
      <c r="R4" s="159"/>
      <c r="S4" s="159"/>
      <c r="T4" s="159"/>
      <c r="U4" s="159"/>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row>
    <row r="5" spans="1:52" ht="15.75" customHeight="1">
      <c r="A5" s="159"/>
      <c r="B5" s="222" t="s">
        <v>163</v>
      </c>
      <c r="C5" s="222"/>
      <c r="D5" s="223" t="s">
        <v>164</v>
      </c>
      <c r="E5" s="224"/>
      <c r="F5" s="224"/>
      <c r="G5" s="224"/>
      <c r="H5" s="224"/>
      <c r="I5" s="224"/>
      <c r="J5" s="224"/>
      <c r="K5" s="225"/>
      <c r="L5" s="161"/>
      <c r="M5" s="161"/>
      <c r="N5" s="161"/>
      <c r="O5" s="161"/>
      <c r="P5" s="159"/>
      <c r="Q5" s="159"/>
      <c r="R5" s="159"/>
      <c r="S5" s="159"/>
      <c r="T5" s="159"/>
      <c r="U5" s="159"/>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row>
    <row r="6" spans="1:52" ht="15.75" customHeight="1">
      <c r="A6" s="159"/>
      <c r="B6" s="222" t="s">
        <v>165</v>
      </c>
      <c r="C6" s="222"/>
      <c r="D6" s="226">
        <v>43346</v>
      </c>
      <c r="E6" s="227"/>
      <c r="F6" s="227"/>
      <c r="G6" s="227"/>
      <c r="H6" s="227"/>
      <c r="I6" s="227"/>
      <c r="J6" s="227"/>
      <c r="K6" s="228"/>
      <c r="L6" s="161"/>
      <c r="M6" s="161"/>
      <c r="N6" s="161"/>
      <c r="O6" s="161"/>
      <c r="P6" s="159"/>
      <c r="Q6" s="159"/>
      <c r="R6" s="159"/>
      <c r="S6" s="159"/>
      <c r="T6" s="159"/>
      <c r="U6" s="159"/>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1:52">
      <c r="A7" s="159"/>
      <c r="B7" s="229" t="s">
        <v>13</v>
      </c>
      <c r="C7" s="230"/>
      <c r="D7" s="233" t="s">
        <v>166</v>
      </c>
      <c r="E7" s="234"/>
      <c r="F7" s="234"/>
      <c r="G7" s="234"/>
      <c r="H7" s="234"/>
      <c r="I7" s="234"/>
      <c r="J7" s="234"/>
      <c r="K7" s="235"/>
      <c r="L7" s="162"/>
      <c r="M7" s="162"/>
      <c r="N7" s="162"/>
      <c r="O7" s="162"/>
      <c r="P7" s="159"/>
      <c r="Q7" s="159"/>
      <c r="R7" s="159"/>
      <c r="S7" s="159"/>
      <c r="T7" s="159"/>
      <c r="U7" s="159"/>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row>
    <row r="8" spans="1:52" ht="15.75" customHeight="1">
      <c r="A8" s="159"/>
      <c r="B8" s="231"/>
      <c r="C8" s="232"/>
      <c r="D8" s="233" t="s">
        <v>167</v>
      </c>
      <c r="E8" s="234"/>
      <c r="F8" s="234"/>
      <c r="G8" s="234"/>
      <c r="H8" s="234"/>
      <c r="I8" s="234"/>
      <c r="J8" s="234"/>
      <c r="K8" s="235"/>
      <c r="L8" s="162"/>
      <c r="M8" s="162"/>
      <c r="N8" s="162"/>
      <c r="O8" s="162"/>
      <c r="P8" s="159"/>
      <c r="Q8" s="159"/>
      <c r="R8" s="159"/>
      <c r="S8" s="159"/>
      <c r="T8" s="159"/>
      <c r="U8" s="159"/>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row>
    <row r="9" spans="1:52" ht="15.75" customHeight="1">
      <c r="A9" s="159"/>
      <c r="B9" s="248" t="s">
        <v>17</v>
      </c>
      <c r="C9" s="248"/>
      <c r="D9" s="249" t="s">
        <v>168</v>
      </c>
      <c r="E9" s="250"/>
      <c r="F9" s="250"/>
      <c r="G9" s="250"/>
      <c r="H9" s="250"/>
      <c r="I9" s="250"/>
      <c r="J9" s="250"/>
      <c r="K9" s="251"/>
      <c r="L9" s="73"/>
      <c r="M9" s="73"/>
      <c r="N9" s="73"/>
      <c r="O9" s="73"/>
      <c r="P9" s="159"/>
      <c r="Q9" s="159"/>
      <c r="R9" s="159"/>
      <c r="S9" s="159"/>
      <c r="T9" s="159"/>
      <c r="U9" s="159"/>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row>
    <row r="10" spans="1:52" ht="15.75" customHeight="1">
      <c r="A10" s="159"/>
      <c r="B10" s="248" t="s">
        <v>19</v>
      </c>
      <c r="C10" s="248"/>
      <c r="D10" s="249" t="s">
        <v>169</v>
      </c>
      <c r="E10" s="250"/>
      <c r="F10" s="250"/>
      <c r="G10" s="250"/>
      <c r="H10" s="250"/>
      <c r="I10" s="250"/>
      <c r="J10" s="250"/>
      <c r="K10" s="251"/>
      <c r="L10" s="161"/>
      <c r="M10" s="161"/>
      <c r="N10" s="161"/>
      <c r="O10" s="161"/>
      <c r="P10" s="159"/>
      <c r="Q10" s="159"/>
      <c r="R10" s="159"/>
      <c r="S10" s="159"/>
      <c r="T10" s="159"/>
      <c r="U10" s="159"/>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row>
    <row r="11" spans="1:52" ht="64.5" customHeight="1">
      <c r="A11" s="159"/>
      <c r="B11" s="252" t="s">
        <v>22</v>
      </c>
      <c r="C11" s="252"/>
      <c r="D11" s="253" t="s">
        <v>170</v>
      </c>
      <c r="E11" s="254"/>
      <c r="F11" s="254"/>
      <c r="G11" s="254"/>
      <c r="H11" s="254"/>
      <c r="I11" s="254"/>
      <c r="J11" s="254"/>
      <c r="K11" s="255"/>
      <c r="L11" s="162"/>
      <c r="M11" s="162"/>
      <c r="N11" s="162"/>
      <c r="O11" s="162"/>
      <c r="P11" s="159"/>
      <c r="Q11" s="159"/>
      <c r="R11" s="159"/>
      <c r="S11" s="159"/>
      <c r="T11" s="159"/>
      <c r="U11" s="159"/>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06" t="str">
        <f>D11</f>
        <v xml:space="preserve">Refers to a hot water boiler that supplies heat to a district heating network. Wood pellets are used as reference fuel. A selective non-catalytic reduction (SNCR) is taken into account for the reduction of NOx. Thus, the main components consist of a wood pellet silo storage, where wood pellets can be stored up to one week, in addition to a pellet boiler, SNCR, other mechanical components and a simple building. </v>
      </c>
    </row>
    <row r="12" spans="1:52" ht="15.75" customHeight="1">
      <c r="A12" s="159"/>
      <c r="B12" s="236" t="s">
        <v>171</v>
      </c>
      <c r="C12" s="236"/>
      <c r="D12" s="237" t="s">
        <v>29</v>
      </c>
      <c r="E12" s="227"/>
      <c r="F12" s="227"/>
      <c r="G12" s="227"/>
      <c r="H12" s="227"/>
      <c r="I12" s="227"/>
      <c r="J12" s="227"/>
      <c r="K12" s="228"/>
      <c r="L12" s="161"/>
      <c r="M12" s="161"/>
      <c r="N12" s="161"/>
      <c r="O12" s="161"/>
      <c r="P12" s="159"/>
      <c r="Q12" s="159"/>
      <c r="R12" s="159"/>
      <c r="S12" s="159"/>
      <c r="T12" s="159"/>
      <c r="U12" s="159"/>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row>
    <row r="13" spans="1:52" ht="11.25" customHeight="1">
      <c r="A13" s="159"/>
      <c r="B13" s="236"/>
      <c r="C13" s="236"/>
      <c r="D13" s="238"/>
      <c r="E13" s="239"/>
      <c r="F13" s="239"/>
      <c r="G13" s="239"/>
      <c r="H13" s="239"/>
      <c r="I13" s="239"/>
      <c r="J13" s="239"/>
      <c r="K13" s="240"/>
      <c r="L13" s="162"/>
      <c r="M13" s="162"/>
      <c r="N13" s="162"/>
      <c r="O13" s="162"/>
      <c r="P13" s="159"/>
      <c r="Q13" s="159"/>
      <c r="R13" s="159"/>
      <c r="S13" s="159"/>
      <c r="T13" s="159"/>
      <c r="U13" s="159"/>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06">
        <f>D13</f>
        <v>0</v>
      </c>
    </row>
    <row r="14" spans="1:52" ht="21" customHeight="1">
      <c r="A14" s="159"/>
      <c r="B14" s="219" t="s">
        <v>47</v>
      </c>
      <c r="C14" s="220"/>
      <c r="D14" s="220"/>
      <c r="E14" s="220"/>
      <c r="F14" s="220"/>
      <c r="G14" s="220"/>
      <c r="H14" s="220"/>
      <c r="I14" s="220"/>
      <c r="J14" s="220"/>
      <c r="K14" s="221"/>
      <c r="L14" s="74"/>
      <c r="M14" s="74"/>
      <c r="N14" s="74"/>
      <c r="O14" s="74"/>
      <c r="P14" s="159"/>
      <c r="Q14" s="159"/>
      <c r="R14" s="159"/>
      <c r="S14" s="159"/>
      <c r="T14" s="159"/>
      <c r="U14" s="159"/>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row>
    <row r="15" spans="1:52" ht="15" customHeight="1">
      <c r="A15" s="159"/>
      <c r="B15" s="241" t="s">
        <v>48</v>
      </c>
      <c r="C15" s="241"/>
      <c r="D15" s="242" t="s">
        <v>229</v>
      </c>
      <c r="E15" s="243"/>
      <c r="F15" s="243"/>
      <c r="G15" s="243"/>
      <c r="H15" s="243"/>
      <c r="I15" s="243"/>
      <c r="J15" s="243"/>
      <c r="K15" s="244"/>
      <c r="L15" s="74"/>
      <c r="M15" s="74"/>
      <c r="N15" s="74"/>
      <c r="O15" s="74"/>
      <c r="P15" s="159"/>
      <c r="Q15" s="159"/>
      <c r="R15" s="159"/>
      <c r="S15" s="159"/>
      <c r="T15" s="159"/>
      <c r="U15" s="159"/>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row>
    <row r="16" spans="1:52" ht="15" customHeight="1">
      <c r="A16" s="159"/>
      <c r="B16" s="241"/>
      <c r="C16" s="241"/>
      <c r="D16" s="245"/>
      <c r="E16" s="246"/>
      <c r="F16" s="246"/>
      <c r="G16" s="246"/>
      <c r="H16" s="246"/>
      <c r="I16" s="246"/>
      <c r="J16" s="246"/>
      <c r="K16" s="247"/>
      <c r="L16" s="74"/>
      <c r="M16" s="74"/>
      <c r="N16" s="74"/>
      <c r="O16" s="74"/>
      <c r="P16" s="159"/>
      <c r="Q16" s="159"/>
      <c r="R16" s="159"/>
      <c r="S16" s="159"/>
      <c r="T16" s="159"/>
      <c r="U16" s="159"/>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row>
    <row r="17" spans="1:21">
      <c r="A17" s="159"/>
      <c r="B17" s="272"/>
      <c r="C17" s="272"/>
      <c r="D17" s="273" t="s">
        <v>173</v>
      </c>
      <c r="E17" s="273"/>
      <c r="F17" s="273"/>
      <c r="G17" s="154" t="s">
        <v>174</v>
      </c>
      <c r="H17" s="154" t="s">
        <v>175</v>
      </c>
      <c r="I17" s="154" t="s">
        <v>176</v>
      </c>
      <c r="J17" s="154" t="s">
        <v>177</v>
      </c>
      <c r="K17" s="154" t="s">
        <v>178</v>
      </c>
      <c r="L17" s="75"/>
      <c r="M17" s="75"/>
      <c r="N17" s="75"/>
      <c r="O17" s="75"/>
      <c r="P17" s="159"/>
      <c r="Q17" s="159"/>
      <c r="R17" s="159"/>
      <c r="S17" s="159"/>
      <c r="T17" s="159"/>
      <c r="U17" s="159"/>
    </row>
    <row r="18" spans="1:21" ht="15.75" customHeight="1">
      <c r="A18" s="159"/>
      <c r="B18" s="241" t="s">
        <v>52</v>
      </c>
      <c r="C18" s="241"/>
      <c r="D18" s="274" t="str">
        <f>IF(D15="Please select","Select Functional Unit above",D15)</f>
        <v>MW</v>
      </c>
      <c r="E18" s="274"/>
      <c r="F18" s="274"/>
      <c r="G18" s="92">
        <v>16.7</v>
      </c>
      <c r="H18" s="91"/>
      <c r="I18" s="91"/>
      <c r="J18" s="91"/>
      <c r="K18" s="91"/>
      <c r="L18" s="76"/>
      <c r="M18" s="76"/>
      <c r="N18" s="76"/>
      <c r="O18" s="76"/>
      <c r="P18" s="159"/>
      <c r="Q18" s="159"/>
      <c r="R18" s="159"/>
      <c r="S18" s="159"/>
      <c r="T18" s="159"/>
      <c r="U18" s="159"/>
    </row>
    <row r="19" spans="1:21" ht="15.75" customHeight="1">
      <c r="A19" s="159"/>
      <c r="B19" s="241"/>
      <c r="C19" s="241"/>
      <c r="D19" s="274"/>
      <c r="E19" s="274"/>
      <c r="F19" s="274"/>
      <c r="G19" s="102" t="s">
        <v>179</v>
      </c>
      <c r="H19" s="102" t="s">
        <v>180</v>
      </c>
      <c r="I19" s="102" t="s">
        <v>180</v>
      </c>
      <c r="J19" s="102" t="s">
        <v>180</v>
      </c>
      <c r="K19" s="102" t="s">
        <v>180</v>
      </c>
      <c r="L19" s="76"/>
      <c r="M19" s="76"/>
      <c r="N19" s="76"/>
      <c r="O19" s="76"/>
      <c r="P19" s="159"/>
      <c r="Q19" s="159"/>
      <c r="R19" s="159"/>
      <c r="S19" s="159"/>
      <c r="T19" s="159"/>
      <c r="U19" s="159"/>
    </row>
    <row r="20" spans="1:21" ht="15.75" customHeight="1">
      <c r="A20" s="159"/>
      <c r="B20" s="272"/>
      <c r="C20" s="272"/>
      <c r="D20" s="275" t="s">
        <v>173</v>
      </c>
      <c r="E20" s="276"/>
      <c r="F20" s="156" t="s">
        <v>181</v>
      </c>
      <c r="G20" s="256" t="s">
        <v>182</v>
      </c>
      <c r="H20" s="256"/>
      <c r="I20" s="256"/>
      <c r="J20" s="256"/>
      <c r="K20" s="256"/>
      <c r="L20" s="283">
        <v>2030</v>
      </c>
      <c r="M20" s="283"/>
      <c r="N20" s="283"/>
      <c r="O20" s="283"/>
      <c r="P20" s="283"/>
      <c r="Q20" s="256">
        <v>2050</v>
      </c>
      <c r="R20" s="256"/>
      <c r="S20" s="256"/>
      <c r="T20" s="256"/>
      <c r="U20" s="256"/>
    </row>
    <row r="21" spans="1:21" ht="15.75" customHeight="1">
      <c r="A21" s="159"/>
      <c r="B21" s="257" t="s">
        <v>57</v>
      </c>
      <c r="C21" s="258"/>
      <c r="D21" s="263" t="str">
        <f>IF(D15="Please select","Select Functional Unit above",D15)</f>
        <v>MW</v>
      </c>
      <c r="E21" s="264"/>
      <c r="F21" s="269" t="s">
        <v>183</v>
      </c>
      <c r="G21" s="154" t="s">
        <v>174</v>
      </c>
      <c r="H21" s="154" t="s">
        <v>175</v>
      </c>
      <c r="I21" s="154" t="s">
        <v>176</v>
      </c>
      <c r="J21" s="154" t="s">
        <v>177</v>
      </c>
      <c r="K21" s="154" t="s">
        <v>178</v>
      </c>
      <c r="L21" s="155" t="s">
        <v>174</v>
      </c>
      <c r="M21" s="155" t="s">
        <v>175</v>
      </c>
      <c r="N21" s="155" t="s">
        <v>176</v>
      </c>
      <c r="O21" s="155" t="s">
        <v>177</v>
      </c>
      <c r="P21" s="155" t="s">
        <v>178</v>
      </c>
      <c r="Q21" s="154" t="s">
        <v>174</v>
      </c>
      <c r="R21" s="154" t="s">
        <v>175</v>
      </c>
      <c r="S21" s="154" t="s">
        <v>176</v>
      </c>
      <c r="T21" s="154" t="s">
        <v>177</v>
      </c>
      <c r="U21" s="154" t="s">
        <v>178</v>
      </c>
    </row>
    <row r="22" spans="1:21" ht="15" customHeight="1">
      <c r="A22" s="159"/>
      <c r="B22" s="259"/>
      <c r="C22" s="260"/>
      <c r="D22" s="265"/>
      <c r="E22" s="266"/>
      <c r="F22" s="270"/>
      <c r="G22" s="143"/>
      <c r="H22" s="144"/>
      <c r="I22" s="144"/>
      <c r="J22" s="144"/>
      <c r="K22" s="144"/>
      <c r="L22" s="145"/>
      <c r="M22" s="146"/>
      <c r="N22" s="146"/>
      <c r="O22" s="101"/>
      <c r="P22" s="101"/>
      <c r="Q22" s="90"/>
      <c r="R22" s="101"/>
      <c r="S22" s="101"/>
      <c r="T22" s="101"/>
      <c r="U22" s="101"/>
    </row>
    <row r="23" spans="1:21">
      <c r="A23" s="159"/>
      <c r="B23" s="261"/>
      <c r="C23" s="262"/>
      <c r="D23" s="267"/>
      <c r="E23" s="268"/>
      <c r="F23" s="271"/>
      <c r="G23" s="141"/>
      <c r="H23" s="141"/>
      <c r="I23" s="141"/>
      <c r="J23" s="141" t="s">
        <v>180</v>
      </c>
      <c r="K23" s="141" t="s">
        <v>180</v>
      </c>
      <c r="L23" s="141"/>
      <c r="M23" s="141"/>
      <c r="N23" s="141"/>
      <c r="O23" s="102" t="s">
        <v>180</v>
      </c>
      <c r="P23" s="102" t="s">
        <v>180</v>
      </c>
      <c r="Q23" s="102" t="s">
        <v>180</v>
      </c>
      <c r="R23" s="102" t="s">
        <v>180</v>
      </c>
      <c r="S23" s="102" t="s">
        <v>180</v>
      </c>
      <c r="T23" s="102" t="s">
        <v>180</v>
      </c>
      <c r="U23" s="102" t="s">
        <v>180</v>
      </c>
    </row>
    <row r="24" spans="1:21" ht="15.75" customHeight="1">
      <c r="A24" s="159"/>
      <c r="B24" s="241" t="s">
        <v>184</v>
      </c>
      <c r="C24" s="241"/>
      <c r="D24" s="242" t="s">
        <v>185</v>
      </c>
      <c r="E24" s="244"/>
      <c r="F24" s="277" t="s">
        <v>186</v>
      </c>
      <c r="G24" s="92"/>
      <c r="H24" s="91"/>
      <c r="I24" s="91"/>
      <c r="J24" s="91"/>
      <c r="K24" s="91"/>
      <c r="L24" s="90"/>
      <c r="M24" s="101"/>
      <c r="N24" s="101"/>
      <c r="O24" s="101"/>
      <c r="P24" s="101"/>
      <c r="Q24" s="90"/>
      <c r="R24" s="101"/>
      <c r="S24" s="101"/>
      <c r="T24" s="101"/>
      <c r="U24" s="101"/>
    </row>
    <row r="25" spans="1:21" ht="15.75" customHeight="1">
      <c r="A25" s="159"/>
      <c r="B25" s="241"/>
      <c r="C25" s="241"/>
      <c r="D25" s="245"/>
      <c r="E25" s="247"/>
      <c r="F25" s="278"/>
      <c r="G25" s="102" t="s">
        <v>180</v>
      </c>
      <c r="H25" s="102" t="s">
        <v>180</v>
      </c>
      <c r="I25" s="102" t="s">
        <v>180</v>
      </c>
      <c r="J25" s="102" t="s">
        <v>180</v>
      </c>
      <c r="K25" s="102" t="s">
        <v>180</v>
      </c>
      <c r="L25" s="102" t="s">
        <v>180</v>
      </c>
      <c r="M25" s="102" t="s">
        <v>180</v>
      </c>
      <c r="N25" s="102" t="s">
        <v>180</v>
      </c>
      <c r="O25" s="102" t="s">
        <v>180</v>
      </c>
      <c r="P25" s="102" t="s">
        <v>180</v>
      </c>
      <c r="Q25" s="102" t="s">
        <v>180</v>
      </c>
      <c r="R25" s="102" t="s">
        <v>180</v>
      </c>
      <c r="S25" s="102" t="s">
        <v>180</v>
      </c>
      <c r="T25" s="102" t="s">
        <v>180</v>
      </c>
      <c r="U25" s="102" t="s">
        <v>180</v>
      </c>
    </row>
    <row r="26" spans="1:21">
      <c r="A26" s="159"/>
      <c r="B26" s="279" t="s">
        <v>66</v>
      </c>
      <c r="C26" s="279"/>
      <c r="D26" s="280" t="s">
        <v>187</v>
      </c>
      <c r="E26" s="281"/>
      <c r="F26" s="281"/>
      <c r="G26" s="281"/>
      <c r="H26" s="281"/>
      <c r="I26" s="281"/>
      <c r="J26" s="281"/>
      <c r="K26" s="282"/>
      <c r="L26" s="78"/>
      <c r="M26" s="78"/>
      <c r="N26" s="78"/>
      <c r="O26" s="78"/>
      <c r="P26" s="159"/>
      <c r="Q26" s="159"/>
      <c r="R26" s="159"/>
      <c r="S26" s="159"/>
      <c r="T26" s="159"/>
      <c r="U26" s="159"/>
    </row>
    <row r="27" spans="1:21">
      <c r="A27" s="159"/>
      <c r="B27" s="279" t="s">
        <v>69</v>
      </c>
      <c r="C27" s="279"/>
      <c r="D27" s="280">
        <v>6000</v>
      </c>
      <c r="E27" s="281"/>
      <c r="F27" s="281"/>
      <c r="G27" s="281"/>
      <c r="H27" s="281"/>
      <c r="I27" s="281"/>
      <c r="J27" s="281"/>
      <c r="K27" s="282"/>
      <c r="L27" s="78"/>
      <c r="M27" s="78"/>
      <c r="N27" s="78"/>
      <c r="O27" s="78"/>
      <c r="P27" s="159"/>
      <c r="Q27" s="159"/>
      <c r="R27" s="159"/>
      <c r="S27" s="159"/>
      <c r="T27" s="159"/>
      <c r="U27" s="159"/>
    </row>
    <row r="28" spans="1:21" ht="15" customHeight="1">
      <c r="A28" s="159"/>
      <c r="B28" s="279" t="s">
        <v>71</v>
      </c>
      <c r="C28" s="279"/>
      <c r="D28" s="223" t="s">
        <v>188</v>
      </c>
      <c r="E28" s="224"/>
      <c r="F28" s="224"/>
      <c r="G28" s="224"/>
      <c r="H28" s="224"/>
      <c r="I28" s="224"/>
      <c r="J28" s="224"/>
      <c r="K28" s="225"/>
      <c r="L28" s="78"/>
      <c r="M28" s="78"/>
      <c r="N28" s="78"/>
      <c r="O28" s="78"/>
      <c r="P28" s="159"/>
      <c r="Q28" s="159"/>
      <c r="R28" s="159"/>
      <c r="S28" s="159"/>
      <c r="T28" s="159"/>
      <c r="U28" s="159"/>
    </row>
    <row r="29" spans="1:21" ht="15.75" customHeight="1">
      <c r="A29" s="159"/>
      <c r="B29" s="279" t="s">
        <v>74</v>
      </c>
      <c r="C29" s="279"/>
      <c r="D29" s="280" t="s">
        <v>189</v>
      </c>
      <c r="E29" s="281"/>
      <c r="F29" s="281"/>
      <c r="G29" s="281"/>
      <c r="H29" s="281"/>
      <c r="I29" s="281"/>
      <c r="J29" s="281"/>
      <c r="K29" s="282"/>
      <c r="L29" s="77"/>
      <c r="M29" s="77"/>
      <c r="N29" s="77"/>
      <c r="O29" s="77"/>
      <c r="P29" s="159"/>
      <c r="Q29" s="159"/>
      <c r="R29" s="159"/>
      <c r="S29" s="159"/>
      <c r="T29" s="159"/>
      <c r="U29" s="159"/>
    </row>
    <row r="30" spans="1:21">
      <c r="A30" s="159"/>
      <c r="B30" s="279" t="s">
        <v>79</v>
      </c>
      <c r="C30" s="279"/>
      <c r="D30" s="280">
        <v>15</v>
      </c>
      <c r="E30" s="281"/>
      <c r="F30" s="281"/>
      <c r="G30" s="281"/>
      <c r="H30" s="281"/>
      <c r="I30" s="281"/>
      <c r="J30" s="281"/>
      <c r="K30" s="282"/>
      <c r="L30" s="78"/>
      <c r="M30" s="78"/>
      <c r="N30" s="78"/>
      <c r="O30" s="78"/>
      <c r="P30" s="159"/>
      <c r="Q30" s="159"/>
      <c r="R30" s="159"/>
      <c r="S30" s="159"/>
      <c r="T30" s="159"/>
      <c r="U30" s="159"/>
    </row>
    <row r="31" spans="1:21">
      <c r="A31" s="159"/>
      <c r="B31" s="279" t="s">
        <v>81</v>
      </c>
      <c r="C31" s="279"/>
      <c r="D31" s="280"/>
      <c r="E31" s="281"/>
      <c r="F31" s="281"/>
      <c r="G31" s="281"/>
      <c r="H31" s="281"/>
      <c r="I31" s="281"/>
      <c r="J31" s="281"/>
      <c r="K31" s="282"/>
      <c r="L31" s="78"/>
      <c r="M31" s="78"/>
      <c r="N31" s="78"/>
      <c r="O31" s="78"/>
      <c r="P31" s="159"/>
      <c r="Q31" s="159"/>
      <c r="R31" s="159"/>
      <c r="S31" s="159"/>
      <c r="T31" s="159"/>
      <c r="U31" s="159"/>
    </row>
    <row r="32" spans="1:21">
      <c r="A32" s="159"/>
      <c r="B32" s="279" t="s">
        <v>83</v>
      </c>
      <c r="C32" s="279"/>
      <c r="D32" s="223" t="s">
        <v>188</v>
      </c>
      <c r="E32" s="224"/>
      <c r="F32" s="224"/>
      <c r="G32" s="224"/>
      <c r="H32" s="224"/>
      <c r="I32" s="224"/>
      <c r="J32" s="224"/>
      <c r="K32" s="225"/>
      <c r="L32" s="78"/>
      <c r="M32" s="78"/>
      <c r="N32" s="78"/>
      <c r="O32" s="78"/>
      <c r="P32" s="159"/>
      <c r="Q32" s="159"/>
      <c r="R32" s="159"/>
      <c r="S32" s="159"/>
      <c r="T32" s="159"/>
      <c r="U32" s="159"/>
    </row>
    <row r="33" spans="1:53" ht="198" customHeight="1">
      <c r="A33" s="159"/>
      <c r="B33" s="241" t="s">
        <v>190</v>
      </c>
      <c r="C33" s="241"/>
      <c r="D33" s="284" t="s">
        <v>240</v>
      </c>
      <c r="E33" s="285"/>
      <c r="F33" s="285"/>
      <c r="G33" s="285"/>
      <c r="H33" s="285"/>
      <c r="I33" s="285"/>
      <c r="J33" s="285"/>
      <c r="K33" s="286"/>
      <c r="L33" s="162"/>
      <c r="M33" s="162"/>
      <c r="N33" s="162"/>
      <c r="O33" s="162"/>
      <c r="P33" s="159"/>
      <c r="Q33" s="159"/>
      <c r="R33" s="159"/>
      <c r="S33" s="159"/>
      <c r="T33" s="159"/>
      <c r="U33" s="159"/>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06" t="str">
        <f>D33</f>
        <v xml:space="preserve">The functional unit MW refers to MWth input. The number of full load hours of such a boiler can vary greatly. It is assumed that the boiler covers a large part of the base load and can also function as a seasonal boiler. That is why the full load hours are set to 6,000. 
The solid biomass potential can be based on the biomass potential studies conducted by DNV GL and the Biomass Policies project. These studies looked at the biomass potential in the Netherlands. The feedstock categories included are: waste wood, forest residues, fuel wood (refers to only current fuel wood use), nature and landscape biomass, and woody/lignocelluloses dedicated crops (this category is included in the Biomass Policies project). These studies indicate the solid biomass potential to be in the range of  41-46 PJ in 2020, increasing to 58.7-72.8 PJ in 2030.  
The import potential to the Netherlands is more difficult to determine. It will depend, amongst others, on the policy frameworks within the EU member states and outside. The  biomass potential in Europe has been defined by a number of studies. The most recent ones are Biomass Policies (Elbersen et al, 2015 ), JRC EU-TIMES (Ruiz et al., 2015) and BioSustain (PWC, 2017). Amongst these studies, the lowest range (referred to as low availability) and the highest range (referred to as high availability) are observed in the JRC study. According to this study, in 2020 the lowest and the highest EU total biomass potential are 8.33-18.17 EJ. In 2030, this range is 8.61-19.97 EJ and in 2050 it is 8.16-21.13 EJ. How much of this potential can be considered as  import potential to the Netherlands will depend on the national policies of each country and the intra EU trade developments regarding wood chips and wood pellets. 
There is also wood chips and wood pellets import potential to Europe and to the Netherlands from regions outside of the EU (form the US, Canada, Russia and Ukraine, Latin and Central America etc). Biomass Policies defines the import potential as 16.67 EJ in 2030, whereas JRC defines it as 0.28-0.52 EJ, increasing to 0.94 EJ. </v>
      </c>
    </row>
    <row r="34" spans="1:53" ht="21" customHeight="1">
      <c r="A34" s="159"/>
      <c r="B34" s="292" t="s">
        <v>192</v>
      </c>
      <c r="C34" s="292"/>
      <c r="D34" s="292"/>
      <c r="E34" s="292"/>
      <c r="F34" s="292"/>
      <c r="G34" s="292"/>
      <c r="H34" s="292"/>
      <c r="I34" s="292"/>
      <c r="J34" s="292"/>
      <c r="K34" s="292"/>
      <c r="L34" s="292"/>
      <c r="M34" s="292"/>
      <c r="N34" s="292"/>
      <c r="O34" s="292"/>
      <c r="P34" s="292"/>
      <c r="Q34" s="292"/>
      <c r="R34" s="292"/>
      <c r="S34" s="292"/>
      <c r="T34" s="292"/>
      <c r="U34" s="292"/>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row>
    <row r="35" spans="1:53" ht="15.75" customHeight="1">
      <c r="A35" s="159"/>
      <c r="B35" s="293" t="s">
        <v>193</v>
      </c>
      <c r="C35" s="293"/>
      <c r="D35" s="293"/>
      <c r="E35" s="293"/>
      <c r="F35" s="293"/>
      <c r="G35" s="256" t="s">
        <v>182</v>
      </c>
      <c r="H35" s="256"/>
      <c r="I35" s="256"/>
      <c r="J35" s="256"/>
      <c r="K35" s="256"/>
      <c r="L35" s="283">
        <v>2030</v>
      </c>
      <c r="M35" s="283"/>
      <c r="N35" s="283"/>
      <c r="O35" s="283"/>
      <c r="P35" s="283"/>
      <c r="Q35" s="256">
        <v>2050</v>
      </c>
      <c r="R35" s="256"/>
      <c r="S35" s="256"/>
      <c r="T35" s="256"/>
      <c r="U35" s="256"/>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row>
    <row r="36" spans="1:53" ht="15.75" customHeight="1">
      <c r="A36" s="159"/>
      <c r="B36" s="293"/>
      <c r="C36" s="293"/>
      <c r="D36" s="294"/>
      <c r="E36" s="294"/>
      <c r="F36" s="294"/>
      <c r="G36" s="154" t="s">
        <v>174</v>
      </c>
      <c r="H36" s="154" t="s">
        <v>175</v>
      </c>
      <c r="I36" s="154" t="s">
        <v>176</v>
      </c>
      <c r="J36" s="154" t="s">
        <v>177</v>
      </c>
      <c r="K36" s="154" t="s">
        <v>178</v>
      </c>
      <c r="L36" s="155" t="s">
        <v>174</v>
      </c>
      <c r="M36" s="155" t="s">
        <v>175</v>
      </c>
      <c r="N36" s="155" t="s">
        <v>176</v>
      </c>
      <c r="O36" s="155" t="s">
        <v>177</v>
      </c>
      <c r="P36" s="155" t="s">
        <v>178</v>
      </c>
      <c r="Q36" s="154" t="s">
        <v>174</v>
      </c>
      <c r="R36" s="154" t="s">
        <v>175</v>
      </c>
      <c r="S36" s="154" t="s">
        <v>176</v>
      </c>
      <c r="T36" s="154" t="s">
        <v>177</v>
      </c>
      <c r="U36" s="154" t="s">
        <v>178</v>
      </c>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row>
    <row r="37" spans="1:53" ht="15.75" customHeight="1">
      <c r="A37" s="159"/>
      <c r="B37" s="236" t="s">
        <v>90</v>
      </c>
      <c r="C37" s="295"/>
      <c r="D37" s="287" t="s">
        <v>194</v>
      </c>
      <c r="E37" s="289" t="str">
        <f>IF(D15="Please select","Please select 'Functional Unit' above",D15)</f>
        <v>MW</v>
      </c>
      <c r="F37" s="290"/>
      <c r="G37" s="188">
        <v>0.49099999999999999</v>
      </c>
      <c r="H37" s="101"/>
      <c r="I37" s="101"/>
      <c r="J37" s="101"/>
      <c r="K37" s="101"/>
      <c r="L37" s="188">
        <v>0.49099999999999999</v>
      </c>
      <c r="M37" s="101"/>
      <c r="N37" s="101"/>
      <c r="O37" s="101"/>
      <c r="P37" s="101"/>
      <c r="Q37" s="92">
        <v>0.49099999999999999</v>
      </c>
      <c r="R37" s="101"/>
      <c r="S37" s="101"/>
      <c r="T37" s="101"/>
      <c r="U37" s="101"/>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row>
    <row r="38" spans="1:53">
      <c r="A38" s="159"/>
      <c r="B38" s="236"/>
      <c r="C38" s="295"/>
      <c r="D38" s="288"/>
      <c r="E38" s="291"/>
      <c r="F38" s="195"/>
      <c r="G38" s="103" t="s">
        <v>179</v>
      </c>
      <c r="H38" s="102"/>
      <c r="I38" s="141"/>
      <c r="J38" s="102" t="s">
        <v>180</v>
      </c>
      <c r="K38" s="102" t="s">
        <v>180</v>
      </c>
      <c r="L38" s="92" t="str">
        <f t="shared" ref="L38" si="0">G38</f>
        <v>SDE+2019</v>
      </c>
      <c r="M38" s="102"/>
      <c r="N38" s="102"/>
      <c r="O38" s="102" t="s">
        <v>180</v>
      </c>
      <c r="P38" s="102" t="s">
        <v>180</v>
      </c>
      <c r="Q38" s="92" t="str">
        <f t="shared" ref="Q38" si="1">L38</f>
        <v>SDE+2019</v>
      </c>
      <c r="R38" s="102"/>
      <c r="S38" s="102"/>
      <c r="T38" s="102" t="s">
        <v>180</v>
      </c>
      <c r="U38" s="102" t="s">
        <v>180</v>
      </c>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row>
    <row r="39" spans="1:53" ht="15.75" customHeight="1">
      <c r="A39" s="159"/>
      <c r="B39" s="236" t="s">
        <v>195</v>
      </c>
      <c r="C39" s="236"/>
      <c r="D39" s="287" t="s">
        <v>194</v>
      </c>
      <c r="E39" s="289" t="str">
        <f>IF(D15="Please select","Please select 'Functional Unit' above",D15)</f>
        <v>MW</v>
      </c>
      <c r="F39" s="290"/>
      <c r="G39" s="188">
        <v>2.63E-2</v>
      </c>
      <c r="H39" s="101"/>
      <c r="I39" s="101"/>
      <c r="J39" s="101"/>
      <c r="K39" s="101"/>
      <c r="L39" s="188">
        <v>2.63E-2</v>
      </c>
      <c r="M39" s="101"/>
      <c r="N39" s="101"/>
      <c r="O39" s="101"/>
      <c r="P39" s="101"/>
      <c r="Q39" s="188">
        <v>2.63E-2</v>
      </c>
      <c r="R39" s="101"/>
      <c r="S39" s="101"/>
      <c r="T39" s="101"/>
      <c r="U39" s="101"/>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row>
    <row r="40" spans="1:53" ht="15" customHeight="1">
      <c r="A40" s="159"/>
      <c r="B40" s="236"/>
      <c r="C40" s="236"/>
      <c r="D40" s="288"/>
      <c r="E40" s="291"/>
      <c r="F40" s="195"/>
      <c r="G40" s="102" t="s">
        <v>179</v>
      </c>
      <c r="H40" s="102"/>
      <c r="I40" s="141"/>
      <c r="J40" s="102" t="s">
        <v>180</v>
      </c>
      <c r="K40" s="102" t="s">
        <v>180</v>
      </c>
      <c r="L40" s="141"/>
      <c r="M40" s="102"/>
      <c r="N40" s="102"/>
      <c r="O40" s="102" t="s">
        <v>180</v>
      </c>
      <c r="P40" s="102" t="s">
        <v>180</v>
      </c>
      <c r="Q40" s="141"/>
      <c r="R40" s="102"/>
      <c r="S40" s="102"/>
      <c r="T40" s="102" t="s">
        <v>180</v>
      </c>
      <c r="U40" s="102" t="s">
        <v>180</v>
      </c>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row>
    <row r="41" spans="1:53" ht="15.75" customHeight="1">
      <c r="A41" s="159"/>
      <c r="B41" s="236" t="s">
        <v>196</v>
      </c>
      <c r="C41" s="236"/>
      <c r="D41" s="287" t="s">
        <v>194</v>
      </c>
      <c r="E41" s="289" t="str">
        <f>IF(D15="Please select","Please select 'Functional Unit' above",D15)</f>
        <v>MW</v>
      </c>
      <c r="F41" s="290"/>
      <c r="G41" s="189">
        <v>2.6299999999999998E-6</v>
      </c>
      <c r="H41" s="101"/>
      <c r="I41" s="101"/>
      <c r="J41" s="101"/>
      <c r="K41" s="101"/>
      <c r="L41" s="92"/>
      <c r="M41" s="101"/>
      <c r="N41" s="101"/>
      <c r="O41" s="101"/>
      <c r="P41" s="101"/>
      <c r="Q41" s="92">
        <f>L41</f>
        <v>0</v>
      </c>
      <c r="R41" s="101"/>
      <c r="S41" s="101"/>
      <c r="T41" s="101"/>
      <c r="U41" s="101"/>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row>
    <row r="42" spans="1:53" ht="15" customHeight="1">
      <c r="A42" s="159"/>
      <c r="B42" s="236"/>
      <c r="C42" s="236"/>
      <c r="D42" s="288"/>
      <c r="E42" s="291"/>
      <c r="F42" s="195"/>
      <c r="G42" s="102" t="s">
        <v>197</v>
      </c>
      <c r="H42" s="102" t="s">
        <v>180</v>
      </c>
      <c r="I42" s="102" t="s">
        <v>180</v>
      </c>
      <c r="J42" s="102" t="s">
        <v>180</v>
      </c>
      <c r="K42" s="102" t="s">
        <v>180</v>
      </c>
      <c r="L42" s="92"/>
      <c r="M42" s="102" t="s">
        <v>180</v>
      </c>
      <c r="N42" s="102" t="s">
        <v>180</v>
      </c>
      <c r="O42" s="102" t="s">
        <v>180</v>
      </c>
      <c r="P42" s="102" t="s">
        <v>180</v>
      </c>
      <c r="Q42" s="92">
        <f>L42</f>
        <v>0</v>
      </c>
      <c r="R42" s="102" t="s">
        <v>180</v>
      </c>
      <c r="S42" s="102" t="s">
        <v>180</v>
      </c>
      <c r="T42" s="102" t="s">
        <v>180</v>
      </c>
      <c r="U42" s="102" t="s">
        <v>180</v>
      </c>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row>
    <row r="43" spans="1:53" ht="64.5" customHeight="1">
      <c r="A43" s="159"/>
      <c r="B43" s="252" t="s">
        <v>198</v>
      </c>
      <c r="C43" s="252"/>
      <c r="D43" s="296" t="s">
        <v>199</v>
      </c>
      <c r="E43" s="296"/>
      <c r="F43" s="296"/>
      <c r="G43" s="296"/>
      <c r="H43" s="296"/>
      <c r="I43" s="296"/>
      <c r="J43" s="296"/>
      <c r="K43" s="296"/>
      <c r="L43" s="296"/>
      <c r="M43" s="296"/>
      <c r="N43" s="296"/>
      <c r="O43" s="296"/>
      <c r="P43" s="296"/>
      <c r="Q43" s="296"/>
      <c r="R43" s="296"/>
      <c r="S43" s="296"/>
      <c r="T43" s="296"/>
      <c r="U43" s="296"/>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BA43" s="106" t="str">
        <f>D43</f>
        <v xml:space="preserve">In above figures MWth refers to input. Costs data are converted to 2015. 
Investment costs cover the costs regarding wood pellet storage in silos, wood pellet boiler, SNCR installation and the building cost.  In SDE+, costs associated with the construction of the installations, excluding the site costs, are also included in the investment costs. 
The fixed O&amp;M costs include costs for fixed maintenance and operational management (remote controlled boiler). The variable O&amp;M costs refers to the costs for consumables and ash-sale. </v>
      </c>
    </row>
    <row r="44" spans="1:53" ht="21" customHeight="1">
      <c r="A44" s="159"/>
      <c r="B44" s="292" t="s">
        <v>104</v>
      </c>
      <c r="C44" s="292"/>
      <c r="D44" s="292"/>
      <c r="E44" s="292"/>
      <c r="F44" s="292"/>
      <c r="G44" s="292"/>
      <c r="H44" s="292"/>
      <c r="I44" s="292"/>
      <c r="J44" s="292"/>
      <c r="K44" s="292"/>
      <c r="L44" s="292"/>
      <c r="M44" s="292"/>
      <c r="N44" s="292"/>
      <c r="O44" s="292"/>
      <c r="P44" s="292"/>
      <c r="Q44" s="292"/>
      <c r="R44" s="292"/>
      <c r="S44" s="292"/>
      <c r="T44" s="292"/>
      <c r="U44" s="292"/>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row>
    <row r="45" spans="1:53" ht="15.75" customHeight="1">
      <c r="A45" s="159"/>
      <c r="B45" s="297" t="s">
        <v>200</v>
      </c>
      <c r="C45" s="298"/>
      <c r="D45" s="301" t="s">
        <v>201</v>
      </c>
      <c r="E45" s="301"/>
      <c r="F45" s="301" t="s">
        <v>202</v>
      </c>
      <c r="G45" s="256" t="s">
        <v>182</v>
      </c>
      <c r="H45" s="256"/>
      <c r="I45" s="256"/>
      <c r="J45" s="256"/>
      <c r="K45" s="256"/>
      <c r="L45" s="283">
        <v>2030</v>
      </c>
      <c r="M45" s="283"/>
      <c r="N45" s="283"/>
      <c r="O45" s="283"/>
      <c r="P45" s="283"/>
      <c r="Q45" s="256">
        <v>2050</v>
      </c>
      <c r="R45" s="256"/>
      <c r="S45" s="256"/>
      <c r="T45" s="256"/>
      <c r="U45" s="256"/>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row>
    <row r="46" spans="1:53">
      <c r="A46" s="159"/>
      <c r="B46" s="299"/>
      <c r="C46" s="300"/>
      <c r="D46" s="301"/>
      <c r="E46" s="301"/>
      <c r="F46" s="301"/>
      <c r="G46" s="154" t="s">
        <v>174</v>
      </c>
      <c r="H46" s="154" t="s">
        <v>175</v>
      </c>
      <c r="I46" s="154" t="s">
        <v>176</v>
      </c>
      <c r="J46" s="154" t="s">
        <v>177</v>
      </c>
      <c r="K46" s="154" t="s">
        <v>178</v>
      </c>
      <c r="L46" s="155" t="s">
        <v>174</v>
      </c>
      <c r="M46" s="155" t="s">
        <v>175</v>
      </c>
      <c r="N46" s="155" t="s">
        <v>176</v>
      </c>
      <c r="O46" s="155" t="s">
        <v>177</v>
      </c>
      <c r="P46" s="155" t="s">
        <v>178</v>
      </c>
      <c r="Q46" s="154" t="s">
        <v>174</v>
      </c>
      <c r="R46" s="154" t="s">
        <v>175</v>
      </c>
      <c r="S46" s="154" t="s">
        <v>176</v>
      </c>
      <c r="T46" s="154" t="s">
        <v>177</v>
      </c>
      <c r="U46" s="154" t="s">
        <v>178</v>
      </c>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row>
    <row r="47" spans="1:53" ht="15.75" customHeight="1">
      <c r="A47" s="159"/>
      <c r="B47" s="302" t="s">
        <v>203</v>
      </c>
      <c r="C47" s="303"/>
      <c r="D47" s="308" t="s">
        <v>204</v>
      </c>
      <c r="E47" s="308"/>
      <c r="F47" s="309" t="s">
        <v>140</v>
      </c>
      <c r="G47" s="92">
        <v>-0.9</v>
      </c>
      <c r="H47" s="101"/>
      <c r="I47" s="101"/>
      <c r="J47" s="101"/>
      <c r="K47" s="101"/>
      <c r="L47" s="92"/>
      <c r="M47" s="101"/>
      <c r="N47" s="101"/>
      <c r="O47" s="101"/>
      <c r="P47" s="101"/>
      <c r="Q47" s="92"/>
      <c r="R47" s="101"/>
      <c r="S47" s="101"/>
      <c r="T47" s="101"/>
      <c r="U47" s="101"/>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row>
    <row r="48" spans="1:53">
      <c r="A48" s="159"/>
      <c r="B48" s="304"/>
      <c r="C48" s="305"/>
      <c r="D48" s="308"/>
      <c r="E48" s="308"/>
      <c r="F48" s="309"/>
      <c r="G48" s="103" t="s">
        <v>179</v>
      </c>
      <c r="H48" s="102" t="s">
        <v>180</v>
      </c>
      <c r="I48" s="102" t="s">
        <v>180</v>
      </c>
      <c r="J48" s="102" t="s">
        <v>180</v>
      </c>
      <c r="K48" s="102" t="s">
        <v>180</v>
      </c>
      <c r="L48" s="103" t="s">
        <v>180</v>
      </c>
      <c r="M48" s="102" t="s">
        <v>180</v>
      </c>
      <c r="N48" s="102" t="s">
        <v>180</v>
      </c>
      <c r="O48" s="102" t="s">
        <v>180</v>
      </c>
      <c r="P48" s="102" t="s">
        <v>180</v>
      </c>
      <c r="Q48" s="103" t="s">
        <v>180</v>
      </c>
      <c r="R48" s="102" t="s">
        <v>180</v>
      </c>
      <c r="S48" s="102" t="s">
        <v>180</v>
      </c>
      <c r="T48" s="102" t="s">
        <v>180</v>
      </c>
      <c r="U48" s="102" t="s">
        <v>180</v>
      </c>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row>
    <row r="49" spans="1:53" ht="15" customHeight="1">
      <c r="A49" s="159"/>
      <c r="B49" s="304"/>
      <c r="C49" s="305"/>
      <c r="D49" s="310" t="s">
        <v>205</v>
      </c>
      <c r="E49" s="311"/>
      <c r="F49" s="309" t="s">
        <v>140</v>
      </c>
      <c r="G49" s="92">
        <v>1</v>
      </c>
      <c r="H49" s="101"/>
      <c r="I49" s="101"/>
      <c r="J49" s="101"/>
      <c r="K49" s="101"/>
      <c r="L49" s="92"/>
      <c r="M49" s="101"/>
      <c r="N49" s="101"/>
      <c r="O49" s="101"/>
      <c r="P49" s="101"/>
      <c r="Q49" s="92"/>
      <c r="R49" s="101"/>
      <c r="S49" s="101"/>
      <c r="T49" s="101"/>
      <c r="U49" s="101"/>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row>
    <row r="50" spans="1:53">
      <c r="A50" s="159"/>
      <c r="B50" s="304"/>
      <c r="C50" s="305"/>
      <c r="D50" s="312"/>
      <c r="E50" s="313"/>
      <c r="F50" s="309"/>
      <c r="G50" s="102" t="s">
        <v>179</v>
      </c>
      <c r="H50" s="102" t="s">
        <v>180</v>
      </c>
      <c r="I50" s="102" t="s">
        <v>180</v>
      </c>
      <c r="J50" s="102" t="s">
        <v>180</v>
      </c>
      <c r="K50" s="102" t="s">
        <v>180</v>
      </c>
      <c r="L50" s="102" t="s">
        <v>180</v>
      </c>
      <c r="M50" s="102" t="s">
        <v>180</v>
      </c>
      <c r="N50" s="102" t="s">
        <v>180</v>
      </c>
      <c r="O50" s="102" t="s">
        <v>180</v>
      </c>
      <c r="P50" s="102" t="s">
        <v>180</v>
      </c>
      <c r="Q50" s="102" t="s">
        <v>180</v>
      </c>
      <c r="R50" s="102" t="s">
        <v>180</v>
      </c>
      <c r="S50" s="102" t="s">
        <v>180</v>
      </c>
      <c r="T50" s="102" t="s">
        <v>180</v>
      </c>
      <c r="U50" s="102" t="s">
        <v>180</v>
      </c>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row>
    <row r="51" spans="1:53">
      <c r="A51" s="159"/>
      <c r="B51" s="304"/>
      <c r="C51" s="305"/>
      <c r="D51" s="308"/>
      <c r="E51" s="308"/>
      <c r="F51" s="309" t="s">
        <v>140</v>
      </c>
      <c r="G51" s="92"/>
      <c r="H51" s="101"/>
      <c r="I51" s="101"/>
      <c r="J51" s="101"/>
      <c r="K51" s="101"/>
      <c r="L51" s="92"/>
      <c r="M51" s="101"/>
      <c r="N51" s="101"/>
      <c r="O51" s="101"/>
      <c r="P51" s="101"/>
      <c r="Q51" s="92"/>
      <c r="R51" s="101"/>
      <c r="S51" s="101"/>
      <c r="T51" s="101"/>
      <c r="U51" s="101"/>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row>
    <row r="52" spans="1:53">
      <c r="A52" s="159"/>
      <c r="B52" s="304"/>
      <c r="C52" s="305"/>
      <c r="D52" s="308"/>
      <c r="E52" s="308"/>
      <c r="F52" s="309"/>
      <c r="G52" s="102" t="s">
        <v>180</v>
      </c>
      <c r="H52" s="102" t="s">
        <v>180</v>
      </c>
      <c r="I52" s="102" t="s">
        <v>180</v>
      </c>
      <c r="J52" s="102" t="s">
        <v>180</v>
      </c>
      <c r="K52" s="102" t="s">
        <v>180</v>
      </c>
      <c r="L52" s="102" t="s">
        <v>180</v>
      </c>
      <c r="M52" s="102" t="s">
        <v>180</v>
      </c>
      <c r="N52" s="102" t="s">
        <v>180</v>
      </c>
      <c r="O52" s="102" t="s">
        <v>180</v>
      </c>
      <c r="P52" s="102" t="s">
        <v>180</v>
      </c>
      <c r="Q52" s="102" t="s">
        <v>180</v>
      </c>
      <c r="R52" s="102" t="s">
        <v>180</v>
      </c>
      <c r="S52" s="102" t="s">
        <v>180</v>
      </c>
      <c r="T52" s="102" t="s">
        <v>180</v>
      </c>
      <c r="U52" s="102" t="s">
        <v>180</v>
      </c>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row>
    <row r="53" spans="1:53">
      <c r="A53" s="159"/>
      <c r="B53" s="304"/>
      <c r="C53" s="305"/>
      <c r="D53" s="308" t="s">
        <v>188</v>
      </c>
      <c r="E53" s="308"/>
      <c r="F53" s="309" t="s">
        <v>140</v>
      </c>
      <c r="G53" s="92"/>
      <c r="H53" s="101"/>
      <c r="I53" s="101"/>
      <c r="J53" s="101"/>
      <c r="K53" s="101"/>
      <c r="L53" s="92"/>
      <c r="M53" s="101"/>
      <c r="N53" s="101"/>
      <c r="O53" s="101"/>
      <c r="P53" s="101"/>
      <c r="Q53" s="92"/>
      <c r="R53" s="101"/>
      <c r="S53" s="101"/>
      <c r="T53" s="101"/>
      <c r="U53" s="101"/>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row>
    <row r="54" spans="1:53">
      <c r="A54" s="159"/>
      <c r="B54" s="306"/>
      <c r="C54" s="307"/>
      <c r="D54" s="308"/>
      <c r="E54" s="308"/>
      <c r="F54" s="309"/>
      <c r="G54" s="102" t="s">
        <v>180</v>
      </c>
      <c r="H54" s="102" t="s">
        <v>180</v>
      </c>
      <c r="I54" s="102" t="s">
        <v>180</v>
      </c>
      <c r="J54" s="102" t="s">
        <v>180</v>
      </c>
      <c r="K54" s="102" t="s">
        <v>180</v>
      </c>
      <c r="L54" s="102" t="s">
        <v>180</v>
      </c>
      <c r="M54" s="102" t="s">
        <v>180</v>
      </c>
      <c r="N54" s="102" t="s">
        <v>180</v>
      </c>
      <c r="O54" s="102" t="s">
        <v>180</v>
      </c>
      <c r="P54" s="102" t="s">
        <v>180</v>
      </c>
      <c r="Q54" s="102" t="s">
        <v>180</v>
      </c>
      <c r="R54" s="102" t="s">
        <v>180</v>
      </c>
      <c r="S54" s="102" t="s">
        <v>180</v>
      </c>
      <c r="T54" s="102" t="s">
        <v>180</v>
      </c>
      <c r="U54" s="102" t="s">
        <v>180</v>
      </c>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row>
    <row r="55" spans="1:53" ht="21" customHeight="1">
      <c r="A55" s="159"/>
      <c r="B55" s="236" t="s">
        <v>206</v>
      </c>
      <c r="C55" s="236"/>
      <c r="D55" s="296"/>
      <c r="E55" s="296"/>
      <c r="F55" s="296"/>
      <c r="G55" s="296"/>
      <c r="H55" s="296"/>
      <c r="I55" s="296"/>
      <c r="J55" s="296"/>
      <c r="K55" s="296"/>
      <c r="L55" s="296"/>
      <c r="M55" s="296"/>
      <c r="N55" s="296"/>
      <c r="O55" s="296"/>
      <c r="P55" s="296"/>
      <c r="Q55" s="296"/>
      <c r="R55" s="296"/>
      <c r="S55" s="296"/>
      <c r="T55" s="296"/>
      <c r="U55" s="296"/>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BA55" s="106">
        <f>D55</f>
        <v>0</v>
      </c>
    </row>
    <row r="56" spans="1:53" ht="21" customHeight="1">
      <c r="A56" s="159"/>
      <c r="B56" s="315" t="s">
        <v>207</v>
      </c>
      <c r="C56" s="316"/>
      <c r="D56" s="316"/>
      <c r="E56" s="316"/>
      <c r="F56" s="316"/>
      <c r="G56" s="316"/>
      <c r="H56" s="316"/>
      <c r="I56" s="316"/>
      <c r="J56" s="316"/>
      <c r="K56" s="316"/>
      <c r="L56" s="316"/>
      <c r="M56" s="316"/>
      <c r="N56" s="316"/>
      <c r="O56" s="316"/>
      <c r="P56" s="316"/>
      <c r="Q56" s="316"/>
      <c r="R56" s="316"/>
      <c r="S56" s="316"/>
      <c r="T56" s="316"/>
      <c r="U56" s="316"/>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row>
    <row r="57" spans="1:53" ht="16.5" customHeight="1">
      <c r="A57" s="159"/>
      <c r="B57" s="302" t="s">
        <v>208</v>
      </c>
      <c r="C57" s="303"/>
      <c r="D57" s="317" t="s">
        <v>209</v>
      </c>
      <c r="E57" s="318"/>
      <c r="F57" s="321" t="s">
        <v>202</v>
      </c>
      <c r="G57" s="256" t="s">
        <v>182</v>
      </c>
      <c r="H57" s="256"/>
      <c r="I57" s="256"/>
      <c r="J57" s="256"/>
      <c r="K57" s="256"/>
      <c r="L57" s="283">
        <v>2030</v>
      </c>
      <c r="M57" s="283"/>
      <c r="N57" s="283"/>
      <c r="O57" s="283"/>
      <c r="P57" s="283"/>
      <c r="Q57" s="256">
        <v>2050</v>
      </c>
      <c r="R57" s="256"/>
      <c r="S57" s="256"/>
      <c r="T57" s="256"/>
      <c r="U57" s="256"/>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row>
    <row r="58" spans="1:53">
      <c r="A58" s="159"/>
      <c r="B58" s="304"/>
      <c r="C58" s="305"/>
      <c r="D58" s="319"/>
      <c r="E58" s="320"/>
      <c r="F58" s="322"/>
      <c r="G58" s="154" t="s">
        <v>174</v>
      </c>
      <c r="H58" s="154" t="s">
        <v>175</v>
      </c>
      <c r="I58" s="154" t="s">
        <v>176</v>
      </c>
      <c r="J58" s="154" t="s">
        <v>177</v>
      </c>
      <c r="K58" s="154" t="s">
        <v>178</v>
      </c>
      <c r="L58" s="155" t="s">
        <v>174</v>
      </c>
      <c r="M58" s="155" t="s">
        <v>175</v>
      </c>
      <c r="N58" s="155" t="s">
        <v>176</v>
      </c>
      <c r="O58" s="155" t="s">
        <v>177</v>
      </c>
      <c r="P58" s="155" t="s">
        <v>178</v>
      </c>
      <c r="Q58" s="154" t="s">
        <v>174</v>
      </c>
      <c r="R58" s="154" t="s">
        <v>175</v>
      </c>
      <c r="S58" s="154" t="s">
        <v>176</v>
      </c>
      <c r="T58" s="154" t="s">
        <v>177</v>
      </c>
      <c r="U58" s="154" t="s">
        <v>178</v>
      </c>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row>
    <row r="59" spans="1:53" ht="15.75" customHeight="1">
      <c r="A59" s="159"/>
      <c r="B59" s="304"/>
      <c r="C59" s="305"/>
      <c r="D59" s="308" t="s">
        <v>189</v>
      </c>
      <c r="E59" s="308"/>
      <c r="F59" s="314" t="s">
        <v>189</v>
      </c>
      <c r="G59" s="92"/>
      <c r="H59" s="101"/>
      <c r="I59" s="101"/>
      <c r="J59" s="101"/>
      <c r="K59" s="101"/>
      <c r="L59" s="92"/>
      <c r="M59" s="101"/>
      <c r="N59" s="101"/>
      <c r="O59" s="101"/>
      <c r="P59" s="101"/>
      <c r="Q59" s="92"/>
      <c r="R59" s="101"/>
      <c r="S59" s="101"/>
      <c r="T59" s="101"/>
      <c r="U59" s="101"/>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row>
    <row r="60" spans="1:53">
      <c r="A60" s="159"/>
      <c r="B60" s="304"/>
      <c r="C60" s="305"/>
      <c r="D60" s="308"/>
      <c r="E60" s="308"/>
      <c r="F60" s="314"/>
      <c r="G60" s="103" t="s">
        <v>180</v>
      </c>
      <c r="H60" s="102" t="s">
        <v>180</v>
      </c>
      <c r="I60" s="102" t="s">
        <v>180</v>
      </c>
      <c r="J60" s="102" t="s">
        <v>180</v>
      </c>
      <c r="K60" s="102" t="s">
        <v>180</v>
      </c>
      <c r="L60" s="103" t="s">
        <v>180</v>
      </c>
      <c r="M60" s="102" t="s">
        <v>180</v>
      </c>
      <c r="N60" s="102" t="s">
        <v>180</v>
      </c>
      <c r="O60" s="102" t="s">
        <v>180</v>
      </c>
      <c r="P60" s="102" t="s">
        <v>180</v>
      </c>
      <c r="Q60" s="103" t="s">
        <v>180</v>
      </c>
      <c r="R60" s="102" t="s">
        <v>180</v>
      </c>
      <c r="S60" s="102" t="s">
        <v>180</v>
      </c>
      <c r="T60" s="102" t="s">
        <v>180</v>
      </c>
      <c r="U60" s="102" t="s">
        <v>180</v>
      </c>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row>
    <row r="61" spans="1:53">
      <c r="A61" s="159"/>
      <c r="B61" s="304"/>
      <c r="C61" s="305"/>
      <c r="D61" s="308" t="s">
        <v>189</v>
      </c>
      <c r="E61" s="308"/>
      <c r="F61" s="314" t="s">
        <v>189</v>
      </c>
      <c r="G61" s="92"/>
      <c r="H61" s="101"/>
      <c r="I61" s="101"/>
      <c r="J61" s="101"/>
      <c r="K61" s="101"/>
      <c r="L61" s="92"/>
      <c r="M61" s="101"/>
      <c r="N61" s="101"/>
      <c r="O61" s="101"/>
      <c r="P61" s="101"/>
      <c r="Q61" s="92"/>
      <c r="R61" s="101"/>
      <c r="S61" s="101"/>
      <c r="T61" s="101"/>
      <c r="U61" s="101"/>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row>
    <row r="62" spans="1:53">
      <c r="A62" s="159"/>
      <c r="B62" s="306"/>
      <c r="C62" s="307"/>
      <c r="D62" s="308"/>
      <c r="E62" s="308"/>
      <c r="F62" s="314"/>
      <c r="G62" s="102" t="s">
        <v>180</v>
      </c>
      <c r="H62" s="102" t="s">
        <v>180</v>
      </c>
      <c r="I62" s="102" t="s">
        <v>180</v>
      </c>
      <c r="J62" s="102" t="s">
        <v>180</v>
      </c>
      <c r="K62" s="102" t="s">
        <v>180</v>
      </c>
      <c r="L62" s="102" t="s">
        <v>180</v>
      </c>
      <c r="M62" s="102" t="s">
        <v>180</v>
      </c>
      <c r="N62" s="102" t="s">
        <v>180</v>
      </c>
      <c r="O62" s="102" t="s">
        <v>180</v>
      </c>
      <c r="P62" s="102" t="s">
        <v>180</v>
      </c>
      <c r="Q62" s="102" t="s">
        <v>180</v>
      </c>
      <c r="R62" s="102" t="s">
        <v>180</v>
      </c>
      <c r="S62" s="102" t="s">
        <v>180</v>
      </c>
      <c r="T62" s="102" t="s">
        <v>180</v>
      </c>
      <c r="U62" s="102" t="s">
        <v>180</v>
      </c>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row>
    <row r="63" spans="1:53" ht="40.5" customHeight="1">
      <c r="A63" s="159"/>
      <c r="B63" s="236" t="s">
        <v>210</v>
      </c>
      <c r="C63" s="236"/>
      <c r="D63" s="296" t="s">
        <v>211</v>
      </c>
      <c r="E63" s="296"/>
      <c r="F63" s="296"/>
      <c r="G63" s="296"/>
      <c r="H63" s="296"/>
      <c r="I63" s="296"/>
      <c r="J63" s="296"/>
      <c r="K63" s="296"/>
      <c r="L63" s="296"/>
      <c r="M63" s="296"/>
      <c r="N63" s="296"/>
      <c r="O63" s="296"/>
      <c r="P63" s="296"/>
      <c r="Q63" s="296"/>
      <c r="R63" s="296"/>
      <c r="S63" s="296"/>
      <c r="T63" s="296"/>
      <c r="U63" s="296"/>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BA63" s="106" t="str">
        <f>D63</f>
        <v>Explain here</v>
      </c>
    </row>
    <row r="64" spans="1:53" ht="21" customHeight="1">
      <c r="A64" s="159"/>
      <c r="B64" s="292" t="s">
        <v>212</v>
      </c>
      <c r="C64" s="292"/>
      <c r="D64" s="292"/>
      <c r="E64" s="292"/>
      <c r="F64" s="292"/>
      <c r="G64" s="292"/>
      <c r="H64" s="292"/>
      <c r="I64" s="292"/>
      <c r="J64" s="292"/>
      <c r="K64" s="292"/>
      <c r="L64" s="292"/>
      <c r="M64" s="292"/>
      <c r="N64" s="292"/>
      <c r="O64" s="292"/>
      <c r="P64" s="292"/>
      <c r="Q64" s="292"/>
      <c r="R64" s="292"/>
      <c r="S64" s="292"/>
      <c r="T64" s="292"/>
      <c r="U64" s="292"/>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row>
    <row r="65" spans="1:53" ht="16.5" customHeight="1">
      <c r="A65" s="159"/>
      <c r="B65" s="333" t="s">
        <v>116</v>
      </c>
      <c r="C65" s="333"/>
      <c r="D65" s="301" t="s">
        <v>213</v>
      </c>
      <c r="E65" s="301"/>
      <c r="F65" s="301" t="s">
        <v>202</v>
      </c>
      <c r="G65" s="256" t="s">
        <v>182</v>
      </c>
      <c r="H65" s="256"/>
      <c r="I65" s="256"/>
      <c r="J65" s="256"/>
      <c r="K65" s="256"/>
      <c r="L65" s="283">
        <v>2030</v>
      </c>
      <c r="M65" s="283"/>
      <c r="N65" s="283"/>
      <c r="O65" s="283"/>
      <c r="P65" s="283"/>
      <c r="Q65" s="256">
        <v>2050</v>
      </c>
      <c r="R65" s="256"/>
      <c r="S65" s="256"/>
      <c r="T65" s="256"/>
      <c r="U65" s="256"/>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row>
    <row r="66" spans="1:53" ht="15.75" customHeight="1">
      <c r="A66" s="159"/>
      <c r="B66" s="333"/>
      <c r="C66" s="333"/>
      <c r="D66" s="301"/>
      <c r="E66" s="301"/>
      <c r="F66" s="301"/>
      <c r="G66" s="154" t="s">
        <v>174</v>
      </c>
      <c r="H66" s="154" t="s">
        <v>175</v>
      </c>
      <c r="I66" s="154" t="s">
        <v>176</v>
      </c>
      <c r="J66" s="154" t="s">
        <v>177</v>
      </c>
      <c r="K66" s="154" t="s">
        <v>178</v>
      </c>
      <c r="L66" s="155" t="s">
        <v>174</v>
      </c>
      <c r="M66" s="155" t="s">
        <v>175</v>
      </c>
      <c r="N66" s="155" t="s">
        <v>176</v>
      </c>
      <c r="O66" s="155" t="s">
        <v>177</v>
      </c>
      <c r="P66" s="155" t="s">
        <v>178</v>
      </c>
      <c r="Q66" s="154" t="s">
        <v>174</v>
      </c>
      <c r="R66" s="154" t="s">
        <v>175</v>
      </c>
      <c r="S66" s="154" t="s">
        <v>176</v>
      </c>
      <c r="T66" s="154" t="s">
        <v>177</v>
      </c>
      <c r="U66" s="154" t="s">
        <v>178</v>
      </c>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row>
    <row r="67" spans="1:53" ht="15.75" customHeight="1">
      <c r="A67" s="159"/>
      <c r="B67" s="333"/>
      <c r="C67" s="333"/>
      <c r="D67" s="308" t="s">
        <v>188</v>
      </c>
      <c r="E67" s="308"/>
      <c r="F67" s="332" t="s">
        <v>188</v>
      </c>
      <c r="G67" s="92"/>
      <c r="H67" s="101"/>
      <c r="I67" s="101"/>
      <c r="J67" s="101"/>
      <c r="K67" s="101"/>
      <c r="L67" s="92"/>
      <c r="M67" s="101"/>
      <c r="N67" s="101"/>
      <c r="O67" s="101"/>
      <c r="P67" s="101"/>
      <c r="Q67" s="92"/>
      <c r="R67" s="101"/>
      <c r="S67" s="101"/>
      <c r="T67" s="101"/>
      <c r="U67" s="101"/>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row>
    <row r="68" spans="1:53" ht="15.75" customHeight="1">
      <c r="A68" s="159"/>
      <c r="B68" s="333"/>
      <c r="C68" s="333"/>
      <c r="D68" s="308"/>
      <c r="E68" s="308"/>
      <c r="F68" s="332"/>
      <c r="G68" s="103" t="s">
        <v>180</v>
      </c>
      <c r="H68" s="102" t="s">
        <v>180</v>
      </c>
      <c r="I68" s="102" t="s">
        <v>180</v>
      </c>
      <c r="J68" s="102" t="s">
        <v>180</v>
      </c>
      <c r="K68" s="102" t="s">
        <v>180</v>
      </c>
      <c r="L68" s="103" t="s">
        <v>180</v>
      </c>
      <c r="M68" s="102" t="s">
        <v>180</v>
      </c>
      <c r="N68" s="102" t="s">
        <v>180</v>
      </c>
      <c r="O68" s="102" t="s">
        <v>180</v>
      </c>
      <c r="P68" s="102" t="s">
        <v>180</v>
      </c>
      <c r="Q68" s="103" t="s">
        <v>180</v>
      </c>
      <c r="R68" s="102" t="s">
        <v>180</v>
      </c>
      <c r="S68" s="102" t="s">
        <v>180</v>
      </c>
      <c r="T68" s="102" t="s">
        <v>180</v>
      </c>
      <c r="U68" s="102" t="s">
        <v>180</v>
      </c>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row>
    <row r="69" spans="1:53" ht="15.75" customHeight="1">
      <c r="A69" s="159"/>
      <c r="B69" s="333"/>
      <c r="C69" s="333"/>
      <c r="D69" s="308" t="s">
        <v>188</v>
      </c>
      <c r="E69" s="308"/>
      <c r="F69" s="332" t="s">
        <v>188</v>
      </c>
      <c r="G69" s="92"/>
      <c r="H69" s="101"/>
      <c r="I69" s="101"/>
      <c r="J69" s="101"/>
      <c r="K69" s="101"/>
      <c r="L69" s="92"/>
      <c r="M69" s="101"/>
      <c r="N69" s="101"/>
      <c r="O69" s="101"/>
      <c r="P69" s="101"/>
      <c r="Q69" s="92"/>
      <c r="R69" s="101"/>
      <c r="S69" s="101"/>
      <c r="T69" s="101"/>
      <c r="U69" s="101"/>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row>
    <row r="70" spans="1:53" ht="15.75" customHeight="1">
      <c r="A70" s="159"/>
      <c r="B70" s="333"/>
      <c r="C70" s="333"/>
      <c r="D70" s="308"/>
      <c r="E70" s="308"/>
      <c r="F70" s="332"/>
      <c r="G70" s="102" t="s">
        <v>180</v>
      </c>
      <c r="H70" s="102" t="s">
        <v>180</v>
      </c>
      <c r="I70" s="102" t="s">
        <v>180</v>
      </c>
      <c r="J70" s="102" t="s">
        <v>180</v>
      </c>
      <c r="K70" s="102" t="s">
        <v>180</v>
      </c>
      <c r="L70" s="102" t="s">
        <v>180</v>
      </c>
      <c r="M70" s="102" t="s">
        <v>180</v>
      </c>
      <c r="N70" s="102" t="s">
        <v>180</v>
      </c>
      <c r="O70" s="102" t="s">
        <v>180</v>
      </c>
      <c r="P70" s="102" t="s">
        <v>180</v>
      </c>
      <c r="Q70" s="102" t="s">
        <v>180</v>
      </c>
      <c r="R70" s="102" t="s">
        <v>180</v>
      </c>
      <c r="S70" s="102" t="s">
        <v>180</v>
      </c>
      <c r="T70" s="102" t="s">
        <v>180</v>
      </c>
      <c r="U70" s="102" t="s">
        <v>180</v>
      </c>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row>
    <row r="71" spans="1:53" ht="15.75" customHeight="1">
      <c r="A71" s="159"/>
      <c r="B71" s="333"/>
      <c r="C71" s="333"/>
      <c r="D71" s="308" t="s">
        <v>188</v>
      </c>
      <c r="E71" s="308"/>
      <c r="F71" s="332" t="s">
        <v>188</v>
      </c>
      <c r="G71" s="92"/>
      <c r="H71" s="101"/>
      <c r="I71" s="101"/>
      <c r="J71" s="101"/>
      <c r="K71" s="101"/>
      <c r="L71" s="92"/>
      <c r="M71" s="101"/>
      <c r="N71" s="101"/>
      <c r="O71" s="101"/>
      <c r="P71" s="101"/>
      <c r="Q71" s="92"/>
      <c r="R71" s="101"/>
      <c r="S71" s="101"/>
      <c r="T71" s="101"/>
      <c r="U71" s="101"/>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row>
    <row r="72" spans="1:53" ht="15.75" customHeight="1">
      <c r="A72" s="159"/>
      <c r="B72" s="333"/>
      <c r="C72" s="333"/>
      <c r="D72" s="308"/>
      <c r="E72" s="308"/>
      <c r="F72" s="332"/>
      <c r="G72" s="102" t="s">
        <v>180</v>
      </c>
      <c r="H72" s="102" t="s">
        <v>180</v>
      </c>
      <c r="I72" s="102" t="s">
        <v>180</v>
      </c>
      <c r="J72" s="102" t="s">
        <v>180</v>
      </c>
      <c r="K72" s="102" t="s">
        <v>180</v>
      </c>
      <c r="L72" s="102" t="s">
        <v>180</v>
      </c>
      <c r="M72" s="102" t="s">
        <v>180</v>
      </c>
      <c r="N72" s="102" t="s">
        <v>180</v>
      </c>
      <c r="O72" s="102" t="s">
        <v>180</v>
      </c>
      <c r="P72" s="102" t="s">
        <v>180</v>
      </c>
      <c r="Q72" s="102" t="s">
        <v>180</v>
      </c>
      <c r="R72" s="102" t="s">
        <v>180</v>
      </c>
      <c r="S72" s="102" t="s">
        <v>180</v>
      </c>
      <c r="T72" s="102" t="s">
        <v>180</v>
      </c>
      <c r="U72" s="102" t="s">
        <v>180</v>
      </c>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row>
    <row r="73" spans="1:53" ht="15.75" customHeight="1">
      <c r="A73" s="159"/>
      <c r="B73" s="333"/>
      <c r="C73" s="333"/>
      <c r="D73" s="308" t="s">
        <v>188</v>
      </c>
      <c r="E73" s="308"/>
      <c r="F73" s="332" t="s">
        <v>188</v>
      </c>
      <c r="G73" s="92"/>
      <c r="H73" s="101"/>
      <c r="I73" s="101"/>
      <c r="J73" s="101"/>
      <c r="K73" s="101"/>
      <c r="L73" s="92"/>
      <c r="M73" s="101"/>
      <c r="N73" s="101"/>
      <c r="O73" s="101"/>
      <c r="P73" s="101"/>
      <c r="Q73" s="92"/>
      <c r="R73" s="101"/>
      <c r="S73" s="101"/>
      <c r="T73" s="101"/>
      <c r="U73" s="101"/>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row>
    <row r="74" spans="1:53" ht="16.5" customHeight="1">
      <c r="A74" s="159"/>
      <c r="B74" s="333"/>
      <c r="C74" s="333"/>
      <c r="D74" s="308"/>
      <c r="E74" s="308"/>
      <c r="F74" s="332"/>
      <c r="G74" s="102" t="s">
        <v>180</v>
      </c>
      <c r="H74" s="102" t="s">
        <v>180</v>
      </c>
      <c r="I74" s="102" t="s">
        <v>180</v>
      </c>
      <c r="J74" s="102" t="s">
        <v>180</v>
      </c>
      <c r="K74" s="102" t="s">
        <v>180</v>
      </c>
      <c r="L74" s="102" t="s">
        <v>180</v>
      </c>
      <c r="M74" s="102" t="s">
        <v>180</v>
      </c>
      <c r="N74" s="102" t="s">
        <v>180</v>
      </c>
      <c r="O74" s="102" t="s">
        <v>180</v>
      </c>
      <c r="P74" s="102" t="s">
        <v>180</v>
      </c>
      <c r="Q74" s="102" t="s">
        <v>180</v>
      </c>
      <c r="R74" s="102" t="s">
        <v>180</v>
      </c>
      <c r="S74" s="102" t="s">
        <v>180</v>
      </c>
      <c r="T74" s="102" t="s">
        <v>180</v>
      </c>
      <c r="U74" s="102" t="s">
        <v>180</v>
      </c>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row>
    <row r="75" spans="1:53" ht="40.5" customHeight="1">
      <c r="A75" s="159"/>
      <c r="B75" s="236" t="s">
        <v>214</v>
      </c>
      <c r="C75" s="236"/>
      <c r="D75" s="253" t="s">
        <v>215</v>
      </c>
      <c r="E75" s="254"/>
      <c r="F75" s="254"/>
      <c r="G75" s="254"/>
      <c r="H75" s="254"/>
      <c r="I75" s="254"/>
      <c r="J75" s="254"/>
      <c r="K75" s="254"/>
      <c r="L75" s="254"/>
      <c r="M75" s="254"/>
      <c r="N75" s="254"/>
      <c r="O75" s="254"/>
      <c r="P75" s="254"/>
      <c r="Q75" s="254"/>
      <c r="R75" s="254"/>
      <c r="S75" s="254"/>
      <c r="T75" s="254"/>
      <c r="U75" s="255"/>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BA75" s="106" t="str">
        <f>D75</f>
        <v>Explain here (e.g. emission factors if calculated)</v>
      </c>
    </row>
    <row r="76" spans="1:53" ht="21" customHeight="1">
      <c r="A76" s="159"/>
      <c r="B76" s="323" t="s">
        <v>216</v>
      </c>
      <c r="C76" s="324"/>
      <c r="D76" s="324"/>
      <c r="E76" s="324"/>
      <c r="F76" s="324"/>
      <c r="G76" s="324"/>
      <c r="H76" s="324"/>
      <c r="I76" s="324"/>
      <c r="J76" s="324"/>
      <c r="K76" s="324"/>
      <c r="L76" s="324"/>
      <c r="M76" s="324"/>
      <c r="N76" s="324"/>
      <c r="O76" s="324"/>
      <c r="P76" s="324"/>
      <c r="Q76" s="324"/>
      <c r="R76" s="324"/>
      <c r="S76" s="324"/>
      <c r="T76" s="324"/>
      <c r="U76" s="325"/>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row>
    <row r="77" spans="1:53" ht="15.75" customHeight="1">
      <c r="A77" s="159"/>
      <c r="B77" s="302" t="s">
        <v>217</v>
      </c>
      <c r="C77" s="303"/>
      <c r="D77" s="326" t="s">
        <v>190</v>
      </c>
      <c r="E77" s="327"/>
      <c r="F77" s="328"/>
      <c r="G77" s="256" t="s">
        <v>182</v>
      </c>
      <c r="H77" s="256"/>
      <c r="I77" s="256"/>
      <c r="J77" s="256"/>
      <c r="K77" s="256"/>
      <c r="L77" s="283">
        <v>2030</v>
      </c>
      <c r="M77" s="283"/>
      <c r="N77" s="283"/>
      <c r="O77" s="283"/>
      <c r="P77" s="283"/>
      <c r="Q77" s="256">
        <v>2050</v>
      </c>
      <c r="R77" s="256"/>
      <c r="S77" s="256"/>
      <c r="T77" s="256"/>
      <c r="U77" s="256"/>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row>
    <row r="78" spans="1:53">
      <c r="A78" s="159"/>
      <c r="B78" s="304"/>
      <c r="C78" s="305"/>
      <c r="D78" s="329"/>
      <c r="E78" s="330"/>
      <c r="F78" s="331"/>
      <c r="G78" s="154" t="s">
        <v>174</v>
      </c>
      <c r="H78" s="154" t="s">
        <v>175</v>
      </c>
      <c r="I78" s="154" t="s">
        <v>176</v>
      </c>
      <c r="J78" s="154" t="s">
        <v>177</v>
      </c>
      <c r="K78" s="154" t="s">
        <v>178</v>
      </c>
      <c r="L78" s="155" t="s">
        <v>174</v>
      </c>
      <c r="M78" s="155" t="s">
        <v>175</v>
      </c>
      <c r="N78" s="155" t="s">
        <v>176</v>
      </c>
      <c r="O78" s="155" t="s">
        <v>177</v>
      </c>
      <c r="P78" s="155" t="s">
        <v>178</v>
      </c>
      <c r="Q78" s="154" t="s">
        <v>174</v>
      </c>
      <c r="R78" s="154" t="s">
        <v>175</v>
      </c>
      <c r="S78" s="154" t="s">
        <v>176</v>
      </c>
      <c r="T78" s="154" t="s">
        <v>177</v>
      </c>
      <c r="U78" s="154" t="s">
        <v>178</v>
      </c>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row>
    <row r="79" spans="1:53">
      <c r="A79" s="159"/>
      <c r="B79" s="304"/>
      <c r="C79" s="305"/>
      <c r="D79" s="242" t="s">
        <v>189</v>
      </c>
      <c r="E79" s="243"/>
      <c r="F79" s="244"/>
      <c r="G79" s="101"/>
      <c r="H79" s="101"/>
      <c r="I79" s="101"/>
      <c r="J79" s="101"/>
      <c r="K79" s="101"/>
      <c r="L79" s="101"/>
      <c r="M79" s="101"/>
      <c r="N79" s="101"/>
      <c r="O79" s="101"/>
      <c r="P79" s="101"/>
      <c r="Q79" s="101"/>
      <c r="R79" s="101"/>
      <c r="S79" s="101"/>
      <c r="T79" s="101"/>
      <c r="U79" s="101"/>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row>
    <row r="80" spans="1:53">
      <c r="A80" s="159"/>
      <c r="B80" s="306"/>
      <c r="C80" s="307"/>
      <c r="D80" s="245"/>
      <c r="E80" s="246"/>
      <c r="F80" s="247"/>
      <c r="G80" s="102" t="s">
        <v>180</v>
      </c>
      <c r="H80" s="102" t="s">
        <v>180</v>
      </c>
      <c r="I80" s="102" t="s">
        <v>180</v>
      </c>
      <c r="J80" s="102" t="s">
        <v>180</v>
      </c>
      <c r="K80" s="102" t="s">
        <v>180</v>
      </c>
      <c r="L80" s="102" t="s">
        <v>180</v>
      </c>
      <c r="M80" s="102" t="s">
        <v>180</v>
      </c>
      <c r="N80" s="102" t="s">
        <v>180</v>
      </c>
      <c r="O80" s="102" t="s">
        <v>180</v>
      </c>
      <c r="P80" s="102" t="s">
        <v>180</v>
      </c>
      <c r="Q80" s="102" t="s">
        <v>180</v>
      </c>
      <c r="R80" s="102" t="s">
        <v>180</v>
      </c>
      <c r="S80" s="102" t="s">
        <v>180</v>
      </c>
      <c r="T80" s="102" t="s">
        <v>180</v>
      </c>
      <c r="U80" s="102" t="s">
        <v>180</v>
      </c>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row>
    <row r="81" spans="1:53" ht="21" customHeight="1">
      <c r="A81" s="159"/>
      <c r="B81" s="323" t="s">
        <v>120</v>
      </c>
      <c r="C81" s="324"/>
      <c r="D81" s="324"/>
      <c r="E81" s="324"/>
      <c r="F81" s="324"/>
      <c r="G81" s="324"/>
      <c r="H81" s="324"/>
      <c r="I81" s="324"/>
      <c r="J81" s="324"/>
      <c r="K81" s="324"/>
      <c r="L81" s="324"/>
      <c r="M81" s="324"/>
      <c r="N81" s="324"/>
      <c r="O81" s="324"/>
      <c r="P81" s="324"/>
      <c r="Q81" s="324"/>
      <c r="R81" s="324"/>
      <c r="S81" s="324"/>
      <c r="T81" s="324"/>
      <c r="U81" s="325"/>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row>
    <row r="82" spans="1:53" ht="15" customHeight="1">
      <c r="A82" s="159"/>
      <c r="B82" s="80">
        <v>1</v>
      </c>
      <c r="C82" s="337" t="s">
        <v>218</v>
      </c>
      <c r="D82" s="337"/>
      <c r="E82" s="337"/>
      <c r="F82" s="337"/>
      <c r="G82" s="337"/>
      <c r="H82" s="337"/>
      <c r="I82" s="337"/>
      <c r="J82" s="337"/>
      <c r="K82" s="337"/>
      <c r="L82" s="337"/>
      <c r="M82" s="337"/>
      <c r="N82" s="337"/>
      <c r="O82" s="337"/>
      <c r="P82" s="337"/>
      <c r="Q82" s="337"/>
      <c r="R82" s="337"/>
      <c r="S82" s="337"/>
      <c r="T82" s="337"/>
      <c r="U82" s="337"/>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BA82" s="106" t="str">
        <f>C82</f>
        <v>SDE+ Eindadvies 2019</v>
      </c>
    </row>
    <row r="83" spans="1:53" ht="15" customHeight="1">
      <c r="A83" s="159"/>
      <c r="B83" s="80">
        <v>2</v>
      </c>
      <c r="C83" s="337" t="s">
        <v>219</v>
      </c>
      <c r="D83" s="337"/>
      <c r="E83" s="337"/>
      <c r="F83" s="337"/>
      <c r="G83" s="337"/>
      <c r="H83" s="337"/>
      <c r="I83" s="337"/>
      <c r="J83" s="337"/>
      <c r="K83" s="337"/>
      <c r="L83" s="337"/>
      <c r="M83" s="337"/>
      <c r="N83" s="337"/>
      <c r="O83" s="337"/>
      <c r="P83" s="337"/>
      <c r="Q83" s="337"/>
      <c r="R83" s="337"/>
      <c r="S83" s="337"/>
      <c r="T83" s="337"/>
      <c r="U83" s="337"/>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BA83" s="106" t="str">
        <f>C83</f>
        <v>DHV, 2017. Biomassapotentieel in Nederland. Verkennende studie naar vrij beschikbaar biomassapotentieel voor energieopwekking in Nederland. Paula Schulze, Johan Holstein, Harm Vlap. GCS.17.R.10032629.2</v>
      </c>
    </row>
    <row r="84" spans="1:53" ht="15" customHeight="1">
      <c r="A84" s="159"/>
      <c r="B84" s="80">
        <v>3</v>
      </c>
      <c r="C84" s="337" t="s">
        <v>220</v>
      </c>
      <c r="D84" s="337"/>
      <c r="E84" s="337"/>
      <c r="F84" s="337"/>
      <c r="G84" s="337"/>
      <c r="H84" s="337"/>
      <c r="I84" s="337"/>
      <c r="J84" s="337"/>
      <c r="K84" s="337"/>
      <c r="L84" s="337"/>
      <c r="M84" s="337"/>
      <c r="N84" s="337"/>
      <c r="O84" s="337"/>
      <c r="P84" s="337"/>
      <c r="Q84" s="337"/>
      <c r="R84" s="337"/>
      <c r="S84" s="337"/>
      <c r="T84" s="337"/>
      <c r="U84" s="337"/>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BA84" s="106" t="str">
        <f>C84</f>
        <v xml:space="preserve">Elbersen et. al.2015. Biomass potential in the Netherlands (as part of the biomass Policies project). </v>
      </c>
    </row>
    <row r="85" spans="1:53" ht="15" customHeight="1">
      <c r="A85" s="159"/>
      <c r="B85" s="80">
        <v>4</v>
      </c>
      <c r="C85" s="337"/>
      <c r="D85" s="337"/>
      <c r="E85" s="337"/>
      <c r="F85" s="337"/>
      <c r="G85" s="337"/>
      <c r="H85" s="337"/>
      <c r="I85" s="337"/>
      <c r="J85" s="337"/>
      <c r="K85" s="337"/>
      <c r="L85" s="337"/>
      <c r="M85" s="337"/>
      <c r="N85" s="337"/>
      <c r="O85" s="337"/>
      <c r="P85" s="337"/>
      <c r="Q85" s="337"/>
      <c r="R85" s="337"/>
      <c r="S85" s="337"/>
      <c r="T85" s="337"/>
      <c r="U85" s="337"/>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BA85" s="106"/>
    </row>
    <row r="86" spans="1:53" ht="15" customHeight="1">
      <c r="A86" s="159"/>
      <c r="B86" s="80">
        <v>5</v>
      </c>
      <c r="C86" s="337"/>
      <c r="D86" s="337"/>
      <c r="E86" s="337"/>
      <c r="F86" s="337"/>
      <c r="G86" s="337"/>
      <c r="H86" s="337"/>
      <c r="I86" s="337"/>
      <c r="J86" s="337"/>
      <c r="K86" s="337"/>
      <c r="L86" s="337"/>
      <c r="M86" s="337"/>
      <c r="N86" s="337"/>
      <c r="O86" s="337"/>
      <c r="P86" s="337"/>
      <c r="Q86" s="337"/>
      <c r="R86" s="337"/>
      <c r="S86" s="337"/>
      <c r="T86" s="337"/>
      <c r="U86" s="337"/>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BA86" s="106"/>
    </row>
    <row r="87" spans="1:53">
      <c r="A87" s="159"/>
      <c r="B87" s="80">
        <v>6</v>
      </c>
      <c r="C87" s="334"/>
      <c r="D87" s="335"/>
      <c r="E87" s="335"/>
      <c r="F87" s="335"/>
      <c r="G87" s="335"/>
      <c r="H87" s="335"/>
      <c r="I87" s="335"/>
      <c r="J87" s="335"/>
      <c r="K87" s="335"/>
      <c r="L87" s="335"/>
      <c r="M87" s="335"/>
      <c r="N87" s="335"/>
      <c r="O87" s="335"/>
      <c r="P87" s="335"/>
      <c r="Q87" s="335"/>
      <c r="R87" s="335"/>
      <c r="S87" s="335"/>
      <c r="T87" s="335"/>
      <c r="U87" s="336"/>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BA87" s="106">
        <f t="shared" ref="BA87:BA91" si="2">C87</f>
        <v>0</v>
      </c>
    </row>
    <row r="88" spans="1:53">
      <c r="A88" s="159"/>
      <c r="B88" s="80">
        <v>7</v>
      </c>
      <c r="C88" s="334"/>
      <c r="D88" s="335"/>
      <c r="E88" s="335"/>
      <c r="F88" s="335"/>
      <c r="G88" s="335"/>
      <c r="H88" s="335"/>
      <c r="I88" s="335"/>
      <c r="J88" s="335"/>
      <c r="K88" s="335"/>
      <c r="L88" s="335"/>
      <c r="M88" s="335"/>
      <c r="N88" s="335"/>
      <c r="O88" s="335"/>
      <c r="P88" s="335"/>
      <c r="Q88" s="335"/>
      <c r="R88" s="335"/>
      <c r="S88" s="335"/>
      <c r="T88" s="335"/>
      <c r="U88" s="336"/>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BA88" s="106">
        <f t="shared" si="2"/>
        <v>0</v>
      </c>
    </row>
    <row r="89" spans="1:53">
      <c r="A89" s="159"/>
      <c r="B89" s="80">
        <v>8</v>
      </c>
      <c r="C89" s="337"/>
      <c r="D89" s="337"/>
      <c r="E89" s="337"/>
      <c r="F89" s="337"/>
      <c r="G89" s="337"/>
      <c r="H89" s="337"/>
      <c r="I89" s="337"/>
      <c r="J89" s="337"/>
      <c r="K89" s="337"/>
      <c r="L89" s="337"/>
      <c r="M89" s="337"/>
      <c r="N89" s="337"/>
      <c r="O89" s="337"/>
      <c r="P89" s="337"/>
      <c r="Q89" s="337"/>
      <c r="R89" s="337"/>
      <c r="S89" s="337"/>
      <c r="T89" s="337"/>
      <c r="U89" s="337"/>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BA89" s="106">
        <f t="shared" si="2"/>
        <v>0</v>
      </c>
    </row>
    <row r="90" spans="1:53">
      <c r="A90" s="159"/>
      <c r="B90" s="80">
        <v>9</v>
      </c>
      <c r="C90" s="337"/>
      <c r="D90" s="337"/>
      <c r="E90" s="337"/>
      <c r="F90" s="337"/>
      <c r="G90" s="337"/>
      <c r="H90" s="337"/>
      <c r="I90" s="337"/>
      <c r="J90" s="337"/>
      <c r="K90" s="337"/>
      <c r="L90" s="337"/>
      <c r="M90" s="337"/>
      <c r="N90" s="337"/>
      <c r="O90" s="337"/>
      <c r="P90" s="337"/>
      <c r="Q90" s="337"/>
      <c r="R90" s="337"/>
      <c r="S90" s="337"/>
      <c r="T90" s="337"/>
      <c r="U90" s="337"/>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BA90" s="106">
        <f t="shared" si="2"/>
        <v>0</v>
      </c>
    </row>
    <row r="91" spans="1:53">
      <c r="A91" s="159"/>
      <c r="B91" s="338" t="s">
        <v>221</v>
      </c>
      <c r="C91" s="337" t="s">
        <v>222</v>
      </c>
      <c r="D91" s="337"/>
      <c r="E91" s="337"/>
      <c r="F91" s="337"/>
      <c r="G91" s="337"/>
      <c r="H91" s="337"/>
      <c r="I91" s="337"/>
      <c r="J91" s="337"/>
      <c r="K91" s="337"/>
      <c r="L91" s="337"/>
      <c r="M91" s="337"/>
      <c r="N91" s="337"/>
      <c r="O91" s="337"/>
      <c r="P91" s="337"/>
      <c r="Q91" s="337"/>
      <c r="R91" s="337"/>
      <c r="S91" s="337"/>
      <c r="T91" s="337"/>
      <c r="U91" s="337"/>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BA91" s="106" t="str">
        <f t="shared" si="2"/>
        <v>Add other sources here</v>
      </c>
    </row>
    <row r="92" spans="1:53">
      <c r="A92" s="159"/>
      <c r="B92" s="338"/>
      <c r="C92" s="337"/>
      <c r="D92" s="337"/>
      <c r="E92" s="337"/>
      <c r="F92" s="337"/>
      <c r="G92" s="337"/>
      <c r="H92" s="337"/>
      <c r="I92" s="337"/>
      <c r="J92" s="337"/>
      <c r="K92" s="337"/>
      <c r="L92" s="337"/>
      <c r="M92" s="337"/>
      <c r="N92" s="337"/>
      <c r="O92" s="337"/>
      <c r="P92" s="337"/>
      <c r="Q92" s="337"/>
      <c r="R92" s="337"/>
      <c r="S92" s="337"/>
      <c r="T92" s="337"/>
      <c r="U92" s="337"/>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row>
    <row r="93" spans="1:53">
      <c r="A93" s="159"/>
      <c r="B93" s="338"/>
      <c r="C93" s="337"/>
      <c r="D93" s="337"/>
      <c r="E93" s="337"/>
      <c r="F93" s="337"/>
      <c r="G93" s="337"/>
      <c r="H93" s="337"/>
      <c r="I93" s="337"/>
      <c r="J93" s="337"/>
      <c r="K93" s="337"/>
      <c r="L93" s="337"/>
      <c r="M93" s="337"/>
      <c r="N93" s="337"/>
      <c r="O93" s="337"/>
      <c r="P93" s="337"/>
      <c r="Q93" s="337"/>
      <c r="R93" s="337"/>
      <c r="S93" s="337"/>
      <c r="T93" s="337"/>
      <c r="U93" s="337"/>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row>
  </sheetData>
  <mergeCells count="134">
    <mergeCell ref="B35:F36"/>
    <mergeCell ref="D37:D38"/>
    <mergeCell ref="E37:F38"/>
    <mergeCell ref="C90:U90"/>
    <mergeCell ref="B31:C31"/>
    <mergeCell ref="F53:F54"/>
    <mergeCell ref="G77:K77"/>
    <mergeCell ref="L77:P77"/>
    <mergeCell ref="Q77:U77"/>
    <mergeCell ref="B47:C54"/>
    <mergeCell ref="D79:F80"/>
    <mergeCell ref="B75:C75"/>
    <mergeCell ref="D73:E74"/>
    <mergeCell ref="F73:F74"/>
    <mergeCell ref="D71:E72"/>
    <mergeCell ref="F71:F72"/>
    <mergeCell ref="D69:E70"/>
    <mergeCell ref="F69:F70"/>
    <mergeCell ref="D67:E68"/>
    <mergeCell ref="D33:K33"/>
    <mergeCell ref="D51:E52"/>
    <mergeCell ref="F51:F52"/>
    <mergeCell ref="D61:E62"/>
    <mergeCell ref="L45:P45"/>
    <mergeCell ref="E41:F42"/>
    <mergeCell ref="B45:C46"/>
    <mergeCell ref="C91:U93"/>
    <mergeCell ref="F67:F68"/>
    <mergeCell ref="D59:E60"/>
    <mergeCell ref="F59:F60"/>
    <mergeCell ref="B63:C63"/>
    <mergeCell ref="D55:U55"/>
    <mergeCell ref="B56:U56"/>
    <mergeCell ref="G57:K57"/>
    <mergeCell ref="L57:P57"/>
    <mergeCell ref="D63:U63"/>
    <mergeCell ref="D43:U43"/>
    <mergeCell ref="G65:K65"/>
    <mergeCell ref="L65:P65"/>
    <mergeCell ref="Q65:U65"/>
    <mergeCell ref="F49:F50"/>
    <mergeCell ref="B76:U76"/>
    <mergeCell ref="B81:U81"/>
    <mergeCell ref="B64:U64"/>
    <mergeCell ref="D65:E66"/>
    <mergeCell ref="F65:F66"/>
    <mergeCell ref="B65:C74"/>
    <mergeCell ref="D75:U75"/>
    <mergeCell ref="F61:F62"/>
    <mergeCell ref="B91:B93"/>
    <mergeCell ref="C84:U84"/>
    <mergeCell ref="C85:U85"/>
    <mergeCell ref="C86:U86"/>
    <mergeCell ref="C87:U87"/>
    <mergeCell ref="C88:U88"/>
    <mergeCell ref="C82:U82"/>
    <mergeCell ref="C83:U83"/>
    <mergeCell ref="D77:F78"/>
    <mergeCell ref="B77:C80"/>
    <mergeCell ref="C89:U89"/>
    <mergeCell ref="B57:C62"/>
    <mergeCell ref="Q57:U57"/>
    <mergeCell ref="B55:C55"/>
    <mergeCell ref="Q45:U45"/>
    <mergeCell ref="D47:E48"/>
    <mergeCell ref="F47:F48"/>
    <mergeCell ref="D49:E50"/>
    <mergeCell ref="B43:C43"/>
    <mergeCell ref="B33:C33"/>
    <mergeCell ref="D57:E58"/>
    <mergeCell ref="F57:F58"/>
    <mergeCell ref="B37:C38"/>
    <mergeCell ref="B39:C40"/>
    <mergeCell ref="B41:C42"/>
    <mergeCell ref="B34:U34"/>
    <mergeCell ref="B44:U44"/>
    <mergeCell ref="Q35:U35"/>
    <mergeCell ref="G35:K35"/>
    <mergeCell ref="L35:P35"/>
    <mergeCell ref="E39:F40"/>
    <mergeCell ref="D41:D42"/>
    <mergeCell ref="D39:D40"/>
    <mergeCell ref="F45:F46"/>
    <mergeCell ref="D45:E46"/>
    <mergeCell ref="G45:K45"/>
    <mergeCell ref="D53:E54"/>
    <mergeCell ref="B17:C17"/>
    <mergeCell ref="D17:F17"/>
    <mergeCell ref="B15:C16"/>
    <mergeCell ref="D18:F19"/>
    <mergeCell ref="B18:C19"/>
    <mergeCell ref="G20:K20"/>
    <mergeCell ref="B32:C32"/>
    <mergeCell ref="B30:C30"/>
    <mergeCell ref="B27:C27"/>
    <mergeCell ref="B24:C25"/>
    <mergeCell ref="D32:K32"/>
    <mergeCell ref="D15:K16"/>
    <mergeCell ref="Q20:U20"/>
    <mergeCell ref="B21:C23"/>
    <mergeCell ref="D21:E23"/>
    <mergeCell ref="F21:F23"/>
    <mergeCell ref="B20:C20"/>
    <mergeCell ref="D20:E20"/>
    <mergeCell ref="L20:P20"/>
    <mergeCell ref="D28:K28"/>
    <mergeCell ref="D31:K31"/>
    <mergeCell ref="D29:K29"/>
    <mergeCell ref="B28:C28"/>
    <mergeCell ref="B26:C26"/>
    <mergeCell ref="B29:C29"/>
    <mergeCell ref="D26:K26"/>
    <mergeCell ref="D24:E25"/>
    <mergeCell ref="F24:F25"/>
    <mergeCell ref="D30:K30"/>
    <mergeCell ref="D27:K27"/>
    <mergeCell ref="B4:K4"/>
    <mergeCell ref="B14:K14"/>
    <mergeCell ref="D5:K5"/>
    <mergeCell ref="D6:K6"/>
    <mergeCell ref="D7:K7"/>
    <mergeCell ref="D8:K8"/>
    <mergeCell ref="D9:K9"/>
    <mergeCell ref="D10:K10"/>
    <mergeCell ref="D11:K11"/>
    <mergeCell ref="D12:K12"/>
    <mergeCell ref="D13:K13"/>
    <mergeCell ref="B5:C5"/>
    <mergeCell ref="B12:C13"/>
    <mergeCell ref="B6:C6"/>
    <mergeCell ref="B11:C11"/>
    <mergeCell ref="B9:C9"/>
    <mergeCell ref="B10:C10"/>
    <mergeCell ref="B7:C8"/>
  </mergeCells>
  <conditionalFormatting sqref="D7">
    <cfRule type="containsText" dxfId="157" priority="172" operator="containsText" text="Please select">
      <formula>NOT(ISERROR(SEARCH("Please select",D7)))</formula>
    </cfRule>
  </conditionalFormatting>
  <conditionalFormatting sqref="D8 L8:O8">
    <cfRule type="containsText" dxfId="156" priority="171" operator="containsText" text="Other (specify here)">
      <formula>NOT(ISERROR(SEARCH("Other (specify here)",D8)))</formula>
    </cfRule>
  </conditionalFormatting>
  <conditionalFormatting sqref="D9">
    <cfRule type="containsText" dxfId="155" priority="170" operator="containsText" text="Please select">
      <formula>NOT(ISERROR(SEARCH("Please select",D9)))</formula>
    </cfRule>
  </conditionalFormatting>
  <conditionalFormatting sqref="L10:O10">
    <cfRule type="containsText" dxfId="154" priority="169" operator="containsText" text="Specify here">
      <formula>NOT(ISERROR(SEARCH("Specify here",L10)))</formula>
    </cfRule>
  </conditionalFormatting>
  <conditionalFormatting sqref="D11 L11:O11">
    <cfRule type="containsText" dxfId="153" priority="168" operator="containsText" text="Specify here">
      <formula>NOT(ISERROR(SEARCH("Specify here",D11)))</formula>
    </cfRule>
  </conditionalFormatting>
  <conditionalFormatting sqref="D6 L6:O6">
    <cfRule type="containsText" dxfId="152" priority="167" operator="containsText" text="DD-MM-YYYY">
      <formula>NOT(ISERROR(SEARCH("DD-MM-YYYY",D6)))</formula>
    </cfRule>
  </conditionalFormatting>
  <conditionalFormatting sqref="D12 L12:O12">
    <cfRule type="containsText" dxfId="151" priority="164" operator="containsText" text="Select the observed or expected TRL level in 2020">
      <formula>NOT(ISERROR(SEARCH("Select the observed or expected TRL level in 2020",D12)))</formula>
    </cfRule>
    <cfRule type="containsText" dxfId="150" priority="166" operator="containsText" text="Specify here the observed or expected TRL level in 2020">
      <formula>NOT(ISERROR(SEARCH("Specify here the observed or expected TRL level in 2020",D12)))</formula>
    </cfRule>
  </conditionalFormatting>
  <conditionalFormatting sqref="D13 L13:O13">
    <cfRule type="containsText" dxfId="149" priority="165" operator="containsText" text="Explain here">
      <formula>NOT(ISERROR(SEARCH("Explain here",D13)))</formula>
    </cfRule>
  </conditionalFormatting>
  <conditionalFormatting sqref="D32 D30">
    <cfRule type="containsText" dxfId="148" priority="163" operator="containsText" text="Please select">
      <formula>NOT(ISERROR(SEARCH("Please select",D30)))</formula>
    </cfRule>
  </conditionalFormatting>
  <conditionalFormatting sqref="D30 L30:O30">
    <cfRule type="containsText" dxfId="147" priority="159" operator="containsText" text="Specify here">
      <formula>NOT(ISERROR(SEARCH("Specify here",D30)))</formula>
    </cfRule>
  </conditionalFormatting>
  <conditionalFormatting sqref="L27:O28">
    <cfRule type="containsText" dxfId="146" priority="158" operator="containsText" text="Specify here">
      <formula>NOT(ISERROR(SEARCH("Specify here",L27)))</formula>
    </cfRule>
  </conditionalFormatting>
  <conditionalFormatting sqref="L26:O28">
    <cfRule type="containsText" dxfId="145" priority="157" operator="containsText" text="Specify here">
      <formula>NOT(ISERROR(SEARCH("Specify here",L26)))</formula>
    </cfRule>
  </conditionalFormatting>
  <conditionalFormatting sqref="L31:O31">
    <cfRule type="containsText" dxfId="144" priority="156" operator="containsText" text="Specify here">
      <formula>NOT(ISERROR(SEARCH("Specify here",L31)))</formula>
    </cfRule>
  </conditionalFormatting>
  <conditionalFormatting sqref="D33 L33:O33">
    <cfRule type="containsText" dxfId="143" priority="155" operator="containsText" text="Explain here (e.g. other technical dimensions, region covered for potential such as NL or EU)">
      <formula>NOT(ISERROR(SEARCH("Explain here (e.g. other technical dimensions, region covered for potential such as NL or EU)",D33)))</formula>
    </cfRule>
  </conditionalFormatting>
  <conditionalFormatting sqref="L5:O5">
    <cfRule type="containsText" dxfId="142" priority="152" operator="containsText" text="Specify technology option name here">
      <formula>NOT(ISERROR(SEARCH("Specify technology option name here",L5)))</formula>
    </cfRule>
  </conditionalFormatting>
  <conditionalFormatting sqref="D18">
    <cfRule type="containsText" dxfId="141" priority="150" operator="containsText" text="Select Functional Unit above">
      <formula>NOT(ISERROR(SEARCH("Select Functional Unit above",D18)))</formula>
    </cfRule>
  </conditionalFormatting>
  <conditionalFormatting sqref="D47">
    <cfRule type="containsText" dxfId="140" priority="121" operator="containsText" text="Select">
      <formula>NOT(ISERROR(SEARCH("Select",D47)))</formula>
    </cfRule>
  </conditionalFormatting>
  <conditionalFormatting sqref="D43">
    <cfRule type="containsText" dxfId="139" priority="131" operator="containsText" text="Explain here (e.g. other costs)">
      <formula>NOT(ISERROR(SEARCH("Explain here (e.g. other costs)",D43)))</formula>
    </cfRule>
  </conditionalFormatting>
  <conditionalFormatting sqref="D69">
    <cfRule type="containsText" dxfId="138" priority="103" operator="containsText" text="Select">
      <formula>NOT(ISERROR(SEARCH("Select",D69)))</formula>
    </cfRule>
  </conditionalFormatting>
  <conditionalFormatting sqref="D71">
    <cfRule type="containsText" dxfId="137" priority="102" operator="containsText" text="Select">
      <formula>NOT(ISERROR(SEARCH("Select",D71)))</formula>
    </cfRule>
  </conditionalFormatting>
  <conditionalFormatting sqref="D49">
    <cfRule type="containsText" dxfId="136" priority="120" operator="containsText" text="Select">
      <formula>NOT(ISERROR(SEARCH("Select",D49)))</formula>
    </cfRule>
  </conditionalFormatting>
  <conditionalFormatting sqref="D73">
    <cfRule type="containsText" dxfId="135" priority="101" operator="containsText" text="Select">
      <formula>NOT(ISERROR(SEARCH("Select",D73)))</formula>
    </cfRule>
  </conditionalFormatting>
  <conditionalFormatting sqref="D51">
    <cfRule type="containsText" dxfId="134" priority="119" operator="containsText" text="Select">
      <formula>NOT(ISERROR(SEARCH("Select",D51)))</formula>
    </cfRule>
  </conditionalFormatting>
  <conditionalFormatting sqref="D53">
    <cfRule type="containsText" dxfId="133" priority="118" operator="containsText" text="Select">
      <formula>NOT(ISERROR(SEARCH("Select",D53)))</formula>
    </cfRule>
  </conditionalFormatting>
  <conditionalFormatting sqref="F47:F54">
    <cfRule type="containsText" dxfId="132" priority="117" operator="containsText" text="Please select">
      <formula>NOT(ISERROR(SEARCH("Please select",F47)))</formula>
    </cfRule>
  </conditionalFormatting>
  <conditionalFormatting sqref="D55">
    <cfRule type="containsText" dxfId="131" priority="116" operator="containsText" text="Explain here (e.g. flexible in and out)">
      <formula>NOT(ISERROR(SEARCH("Explain here (e.g. flexible in and out)",D55)))</formula>
    </cfRule>
  </conditionalFormatting>
  <conditionalFormatting sqref="D59">
    <cfRule type="containsText" dxfId="130" priority="107" operator="containsText" text="Select">
      <formula>NOT(ISERROR(SEARCH("Select",D59)))</formula>
    </cfRule>
  </conditionalFormatting>
  <conditionalFormatting sqref="D63">
    <cfRule type="containsText" dxfId="129" priority="105" operator="containsText" text="Explain here">
      <formula>NOT(ISERROR(SEARCH("Explain here",D63)))</formula>
    </cfRule>
  </conditionalFormatting>
  <conditionalFormatting sqref="D67">
    <cfRule type="containsText" dxfId="128" priority="104" operator="containsText" text="Select">
      <formula>NOT(ISERROR(SEARCH("Select",D67)))</formula>
    </cfRule>
  </conditionalFormatting>
  <conditionalFormatting sqref="F67:F74">
    <cfRule type="containsText" dxfId="127" priority="100" operator="containsText" text="Please select">
      <formula>NOT(ISERROR(SEARCH("Please select",F67)))</formula>
    </cfRule>
  </conditionalFormatting>
  <conditionalFormatting sqref="D75">
    <cfRule type="containsText" dxfId="126" priority="99" operator="containsText" text="Explain here">
      <formula>NOT(ISERROR(SEARCH("Explain here",D75)))</formula>
    </cfRule>
  </conditionalFormatting>
  <conditionalFormatting sqref="D79">
    <cfRule type="containsText" dxfId="125" priority="92" operator="containsText" text="Specify here">
      <formula>NOT(ISERROR(SEARCH("Specify here",D79)))</formula>
    </cfRule>
  </conditionalFormatting>
  <conditionalFormatting sqref="B82 B84:B85 B87:B88 B90">
    <cfRule type="containsText" dxfId="124" priority="91" operator="containsText" text="Specify data sources and references here">
      <formula>NOT(ISERROR(SEARCH("Specify data sources and references here",B82)))</formula>
    </cfRule>
  </conditionalFormatting>
  <conditionalFormatting sqref="D27">
    <cfRule type="containsText" dxfId="123" priority="90" operator="containsText" text="Please select">
      <formula>NOT(ISERROR(SEARCH("Please select",D27)))</formula>
    </cfRule>
  </conditionalFormatting>
  <conditionalFormatting sqref="D27">
    <cfRule type="containsText" dxfId="122" priority="89" operator="containsText" text="Specify here">
      <formula>NOT(ISERROR(SEARCH("Specify here",D27)))</formula>
    </cfRule>
  </conditionalFormatting>
  <conditionalFormatting sqref="D26:D27">
    <cfRule type="containsText" dxfId="121" priority="87" operator="containsText" text="Specify here (if not specified, value will be 1)">
      <formula>NOT(ISERROR(SEARCH("Specify here (if not specified, value will be 1)",D26)))</formula>
    </cfRule>
  </conditionalFormatting>
  <conditionalFormatting sqref="D31">
    <cfRule type="containsText" dxfId="120" priority="86" operator="containsText" text="Please select">
      <formula>NOT(ISERROR(SEARCH("Please select",D31)))</formula>
    </cfRule>
  </conditionalFormatting>
  <conditionalFormatting sqref="D31">
    <cfRule type="containsText" dxfId="119" priority="85" operator="containsText" text="Specify here">
      <formula>NOT(ISERROR(SEARCH("Specify here",D31)))</formula>
    </cfRule>
  </conditionalFormatting>
  <conditionalFormatting sqref="G42:K42 G38:K38 G40:K40">
    <cfRule type="containsText" dxfId="118" priority="84" operator="containsText" text="Reference">
      <formula>NOT(ISERROR(SEARCH("Reference",G38)))</formula>
    </cfRule>
  </conditionalFormatting>
  <conditionalFormatting sqref="M42:P42">
    <cfRule type="containsText" dxfId="117" priority="83" operator="containsText" text="Reference">
      <formula>NOT(ISERROR(SEARCH("Reference",M42)))</formula>
    </cfRule>
  </conditionalFormatting>
  <conditionalFormatting sqref="T40:U40 R42:U42 T38:U38">
    <cfRule type="containsText" dxfId="116" priority="82" operator="containsText" text="Reference">
      <formula>NOT(ISERROR(SEARCH("Reference",R38)))</formula>
    </cfRule>
  </conditionalFormatting>
  <conditionalFormatting sqref="E37">
    <cfRule type="containsText" dxfId="115" priority="81" operator="containsText" text="Please select 'Functional Unit' above">
      <formula>NOT(ISERROR(SEARCH("Please select 'Functional Unit' above",E37)))</formula>
    </cfRule>
  </conditionalFormatting>
  <conditionalFormatting sqref="H50:K50 H52:K52 H54:K54 H48:K48">
    <cfRule type="containsText" dxfId="114" priority="77" operator="containsText" text="Reference">
      <formula>NOT(ISERROR(SEARCH("Reference",H48)))</formula>
    </cfRule>
  </conditionalFormatting>
  <conditionalFormatting sqref="M50:P50 M52:P52 M54:P54 M48:P48">
    <cfRule type="containsText" dxfId="113" priority="76" operator="containsText" text="Reference">
      <formula>NOT(ISERROR(SEARCH("Reference",M48)))</formula>
    </cfRule>
  </conditionalFormatting>
  <conditionalFormatting sqref="R50:U50 R52:U52 R54:U54 R48:U48">
    <cfRule type="containsText" dxfId="112" priority="75" operator="containsText" text="Reference">
      <formula>NOT(ISERROR(SEARCH("Reference",R48)))</formula>
    </cfRule>
  </conditionalFormatting>
  <conditionalFormatting sqref="H70:K70 H72:K72 H74:K74 H68:K68">
    <cfRule type="containsText" dxfId="111" priority="71" operator="containsText" text="Reference">
      <formula>NOT(ISERROR(SEARCH("Reference",H68)))</formula>
    </cfRule>
  </conditionalFormatting>
  <conditionalFormatting sqref="M70:P70 M72:P72 M74:P74 M68:P68">
    <cfRule type="containsText" dxfId="110" priority="70" operator="containsText" text="Reference">
      <formula>NOT(ISERROR(SEARCH("Reference",M68)))</formula>
    </cfRule>
  </conditionalFormatting>
  <conditionalFormatting sqref="R70:U70 R72:U72 R74:U74 R68:U68">
    <cfRule type="containsText" dxfId="109" priority="69" operator="containsText" text="Reference">
      <formula>NOT(ISERROR(SEARCH("Reference",R68)))</formula>
    </cfRule>
  </conditionalFormatting>
  <conditionalFormatting sqref="G62:K62 H60:K60">
    <cfRule type="containsText" dxfId="108" priority="68" operator="containsText" text="Reference">
      <formula>NOT(ISERROR(SEARCH("Reference",G60)))</formula>
    </cfRule>
  </conditionalFormatting>
  <conditionalFormatting sqref="L62:P62 M60:P60">
    <cfRule type="containsText" dxfId="107" priority="67" operator="containsText" text="Reference">
      <formula>NOT(ISERROR(SEARCH("Reference",L60)))</formula>
    </cfRule>
  </conditionalFormatting>
  <conditionalFormatting sqref="Q62:U62 R60:U60">
    <cfRule type="containsText" dxfId="106" priority="66" operator="containsText" text="Reference">
      <formula>NOT(ISERROR(SEARCH("Reference",Q60)))</formula>
    </cfRule>
  </conditionalFormatting>
  <conditionalFormatting sqref="G80:K80">
    <cfRule type="containsText" dxfId="105" priority="65" operator="containsText" text="Reference">
      <formula>NOT(ISERROR(SEARCH("Reference",G80)))</formula>
    </cfRule>
  </conditionalFormatting>
  <conditionalFormatting sqref="L80:P80">
    <cfRule type="containsText" dxfId="104" priority="64" operator="containsText" text="Reference">
      <formula>NOT(ISERROR(SEARCH("Reference",L80)))</formula>
    </cfRule>
  </conditionalFormatting>
  <conditionalFormatting sqref="Q80:U80">
    <cfRule type="containsText" dxfId="103" priority="63" operator="containsText" text="Reference">
      <formula>NOT(ISERROR(SEARCH("Reference",Q80)))</formula>
    </cfRule>
  </conditionalFormatting>
  <conditionalFormatting sqref="D5">
    <cfRule type="containsText" dxfId="102" priority="62" operator="containsText" text="Please select">
      <formula>NOT(ISERROR(SEARCH("Please select",D5)))</formula>
    </cfRule>
  </conditionalFormatting>
  <conditionalFormatting sqref="D5">
    <cfRule type="containsText" dxfId="101" priority="61" operator="containsText" text="Specify here">
      <formula>NOT(ISERROR(SEARCH("Specify here",D5)))</formula>
    </cfRule>
  </conditionalFormatting>
  <conditionalFormatting sqref="D10">
    <cfRule type="containsText" dxfId="100" priority="60" operator="containsText" text="Please select">
      <formula>NOT(ISERROR(SEARCH("Please select",D10)))</formula>
    </cfRule>
  </conditionalFormatting>
  <conditionalFormatting sqref="D15">
    <cfRule type="containsText" dxfId="99" priority="58" operator="containsText" text="Please select">
      <formula>NOT(ISERROR(SEARCH("Please select",D15)))</formula>
    </cfRule>
    <cfRule type="containsText" dxfId="98" priority="59" operator="containsText" text="Please select 'Functional Unit' above">
      <formula>NOT(ISERROR(SEARCH("Please select 'Functional Unit' above",D15)))</formula>
    </cfRule>
  </conditionalFormatting>
  <conditionalFormatting sqref="D21">
    <cfRule type="containsText" dxfId="97" priority="57" operator="containsText" text="Select Functional Unit above">
      <formula>NOT(ISERROR(SEARCH("Select Functional Unit above",D21)))</formula>
    </cfRule>
  </conditionalFormatting>
  <conditionalFormatting sqref="D28">
    <cfRule type="containsText" dxfId="96" priority="56" operator="containsText" text="Please select">
      <formula>NOT(ISERROR(SEARCH("Please select",D28)))</formula>
    </cfRule>
  </conditionalFormatting>
  <conditionalFormatting sqref="E39 E41">
    <cfRule type="containsText" dxfId="95" priority="52" operator="containsText" text="Please select 'Functional Unit' above">
      <formula>NOT(ISERROR(SEARCH("Please select 'Functional Unit' above",E39)))</formula>
    </cfRule>
  </conditionalFormatting>
  <conditionalFormatting sqref="G50 G52 G54 G48">
    <cfRule type="containsText" dxfId="94" priority="51" operator="containsText" text="Reference">
      <formula>NOT(ISERROR(SEARCH("Reference",G48)))</formula>
    </cfRule>
  </conditionalFormatting>
  <conditionalFormatting sqref="L50 L52 L54 L48">
    <cfRule type="containsText" dxfId="93" priority="50" operator="containsText" text="Reference">
      <formula>NOT(ISERROR(SEARCH("Reference",L48)))</formula>
    </cfRule>
  </conditionalFormatting>
  <conditionalFormatting sqref="Q50 Q52 Q54 Q48">
    <cfRule type="containsText" dxfId="92" priority="49" operator="containsText" text="Reference">
      <formula>NOT(ISERROR(SEARCH("Reference",Q48)))</formula>
    </cfRule>
  </conditionalFormatting>
  <conditionalFormatting sqref="D61">
    <cfRule type="containsText" dxfId="91" priority="48" operator="containsText" text="Select">
      <formula>NOT(ISERROR(SEARCH("Select",D61)))</formula>
    </cfRule>
  </conditionalFormatting>
  <conditionalFormatting sqref="D59:F62">
    <cfRule type="containsText" dxfId="90" priority="47" operator="containsText" text="Specify here">
      <formula>NOT(ISERROR(SEARCH("Specify here",D59)))</formula>
    </cfRule>
  </conditionalFormatting>
  <conditionalFormatting sqref="G60">
    <cfRule type="containsText" dxfId="89" priority="46" operator="containsText" text="Reference">
      <formula>NOT(ISERROR(SEARCH("Reference",G60)))</formula>
    </cfRule>
  </conditionalFormatting>
  <conditionalFormatting sqref="L60">
    <cfRule type="containsText" dxfId="88" priority="45" operator="containsText" text="Reference">
      <formula>NOT(ISERROR(SEARCH("Reference",L60)))</formula>
    </cfRule>
  </conditionalFormatting>
  <conditionalFormatting sqref="Q60">
    <cfRule type="containsText" dxfId="87" priority="44" operator="containsText" text="Reference">
      <formula>NOT(ISERROR(SEARCH("Reference",Q60)))</formula>
    </cfRule>
  </conditionalFormatting>
  <conditionalFormatting sqref="G70 G72 G74 G68">
    <cfRule type="containsText" dxfId="86" priority="43" operator="containsText" text="Reference">
      <formula>NOT(ISERROR(SEARCH("Reference",G68)))</formula>
    </cfRule>
  </conditionalFormatting>
  <conditionalFormatting sqref="L70 L72 L74 L68">
    <cfRule type="containsText" dxfId="85" priority="42" operator="containsText" text="Reference">
      <formula>NOT(ISERROR(SEARCH("Reference",L68)))</formula>
    </cfRule>
  </conditionalFormatting>
  <conditionalFormatting sqref="Q70 Q72 Q74 Q68">
    <cfRule type="containsText" dxfId="84" priority="41" operator="containsText" text="Reference">
      <formula>NOT(ISERROR(SEARCH("Reference",Q68)))</formula>
    </cfRule>
  </conditionalFormatting>
  <conditionalFormatting sqref="B83 B86 B89">
    <cfRule type="containsText" dxfId="83" priority="39" operator="containsText" text="Specify data sources and references here">
      <formula>NOT(ISERROR(SEARCH("Specify data sources and references here",B83)))</formula>
    </cfRule>
  </conditionalFormatting>
  <conditionalFormatting sqref="C91:U93">
    <cfRule type="containsText" dxfId="82" priority="37" operator="containsText" text="Add other sources here">
      <formula>NOT(ISERROR(SEARCH("Add other sources here",C91)))</formula>
    </cfRule>
  </conditionalFormatting>
  <conditionalFormatting sqref="D24">
    <cfRule type="containsText" dxfId="81" priority="35" operator="containsText" text="Select Functional Unit above">
      <formula>NOT(ISERROR(SEARCH("Select Functional Unit above",D24)))</formula>
    </cfRule>
  </conditionalFormatting>
  <conditionalFormatting sqref="F21">
    <cfRule type="containsText" dxfId="80" priority="34" operator="containsText" text="Please select the region">
      <formula>NOT(ISERROR(SEARCH("Please select the region",F21)))</formula>
    </cfRule>
  </conditionalFormatting>
  <conditionalFormatting sqref="F24:F25">
    <cfRule type="containsText" dxfId="79" priority="33" operator="containsText" text="Specify here the market">
      <formula>NOT(ISERROR(SEARCH("Specify here the market",F24)))</formula>
    </cfRule>
  </conditionalFormatting>
  <conditionalFormatting sqref="G19:K19">
    <cfRule type="containsText" dxfId="78" priority="32" operator="containsText" text="Reference">
      <formula>NOT(ISERROR(SEARCH("Reference",G19)))</formula>
    </cfRule>
  </conditionalFormatting>
  <conditionalFormatting sqref="I23:K23">
    <cfRule type="containsText" dxfId="77" priority="31" operator="containsText" text="Reference">
      <formula>NOT(ISERROR(SEARCH("Reference",I23)))</formula>
    </cfRule>
  </conditionalFormatting>
  <conditionalFormatting sqref="G25:K25">
    <cfRule type="containsText" dxfId="76" priority="30" operator="containsText" text="Reference">
      <formula>NOT(ISERROR(SEARCH("Reference",G25)))</formula>
    </cfRule>
  </conditionalFormatting>
  <conditionalFormatting sqref="G38:K38 G42:K42 G48:U48 G50:U50 G52:U52 G54:U54 G60:U60 G62:U62 G68:U68 G70:U70 G72:U72 G74:U74 G80:U80 T38:U38 T40:U40 M42:P42 R42:U42 G40:K40">
    <cfRule type="containsText" dxfId="75" priority="29" operator="containsText" text="Reference">
      <formula>NOT(ISERROR(SEARCH("Reference",G38)))</formula>
    </cfRule>
  </conditionalFormatting>
  <conditionalFormatting sqref="L25:P25 O23:P23">
    <cfRule type="containsText" dxfId="74" priority="28" operator="containsText" text="Reference">
      <formula>NOT(ISERROR(SEARCH("Reference",L23)))</formula>
    </cfRule>
  </conditionalFormatting>
  <conditionalFormatting sqref="Q25:U25 Q23:U23">
    <cfRule type="containsText" dxfId="73" priority="27" operator="containsText" text="Reference">
      <formula>NOT(ISERROR(SEARCH("Reference",Q23)))</formula>
    </cfRule>
  </conditionalFormatting>
  <conditionalFormatting sqref="O23:U23 L25:U25">
    <cfRule type="containsText" dxfId="72" priority="26" operator="containsText" text="Reference">
      <formula>NOT(ISERROR(SEARCH("Reference",L23)))</formula>
    </cfRule>
  </conditionalFormatting>
  <conditionalFormatting sqref="D29">
    <cfRule type="containsText" dxfId="71" priority="23" operator="containsText" text="Please select">
      <formula>NOT(ISERROR(SEARCH("Please select",D29)))</formula>
    </cfRule>
  </conditionalFormatting>
  <conditionalFormatting sqref="D29">
    <cfRule type="containsText" dxfId="70" priority="22" operator="containsText" text="Specify here">
      <formula>NOT(ISERROR(SEARCH("Specify here",D29)))</formula>
    </cfRule>
  </conditionalFormatting>
  <conditionalFormatting sqref="G23:H23">
    <cfRule type="containsText" dxfId="69" priority="21" operator="containsText" text="Reference">
      <formula>NOT(ISERROR(SEARCH("Reference",G23)))</formula>
    </cfRule>
  </conditionalFormatting>
  <conditionalFormatting sqref="N23">
    <cfRule type="containsText" dxfId="68" priority="20" operator="containsText" text="Reference">
      <formula>NOT(ISERROR(SEARCH("Reference",N23)))</formula>
    </cfRule>
  </conditionalFormatting>
  <conditionalFormatting sqref="L23:M23">
    <cfRule type="containsText" dxfId="67" priority="19" operator="containsText" text="Reference">
      <formula>NOT(ISERROR(SEARCH("Reference",L23)))</formula>
    </cfRule>
  </conditionalFormatting>
  <conditionalFormatting sqref="M38:P38">
    <cfRule type="containsText" dxfId="66" priority="18" operator="containsText" text="Reference">
      <formula>NOT(ISERROR(SEARCH("Reference",M38)))</formula>
    </cfRule>
  </conditionalFormatting>
  <conditionalFormatting sqref="R38:S38">
    <cfRule type="containsText" dxfId="65" priority="17" operator="containsText" text="Reference">
      <formula>NOT(ISERROR(SEARCH("Reference",R38)))</formula>
    </cfRule>
  </conditionalFormatting>
  <conditionalFormatting sqref="M38:P38 R38:S38">
    <cfRule type="containsText" dxfId="64" priority="16" operator="containsText" text="Reference">
      <formula>NOT(ISERROR(SEARCH("Reference",M38)))</formula>
    </cfRule>
  </conditionalFormatting>
  <conditionalFormatting sqref="M38:N38">
    <cfRule type="containsText" dxfId="63" priority="15" operator="containsText" text="Reference">
      <formula>NOT(ISERROR(SEARCH("Reference",M38)))</formula>
    </cfRule>
  </conditionalFormatting>
  <conditionalFormatting sqref="L40:P40">
    <cfRule type="containsText" dxfId="62" priority="14" operator="containsText" text="Reference">
      <formula>NOT(ISERROR(SEARCH("Reference",L40)))</formula>
    </cfRule>
  </conditionalFormatting>
  <conditionalFormatting sqref="Q40">
    <cfRule type="containsText" dxfId="61" priority="13" operator="containsText" text="Reference">
      <formula>NOT(ISERROR(SEARCH("Reference",Q40)))</formula>
    </cfRule>
  </conditionalFormatting>
  <conditionalFormatting sqref="L40:Q40">
    <cfRule type="containsText" dxfId="60" priority="12" operator="containsText" text="Reference">
      <formula>NOT(ISERROR(SEARCH("Reference",L40)))</formula>
    </cfRule>
  </conditionalFormatting>
  <conditionalFormatting sqref="R40:S40">
    <cfRule type="containsText" dxfId="59" priority="9" operator="containsText" text="Reference">
      <formula>NOT(ISERROR(SEARCH("Reference",R40)))</formula>
    </cfRule>
  </conditionalFormatting>
  <conditionalFormatting sqref="R40:S40">
    <cfRule type="containsText" dxfId="58" priority="8" operator="containsText" text="Reference">
      <formula>NOT(ISERROR(SEARCH("Reference",R40)))</formula>
    </cfRule>
  </conditionalFormatting>
  <conditionalFormatting sqref="C83:U83">
    <cfRule type="containsText" dxfId="57" priority="7" operator="containsText" text="Specify complete references and data sources used here">
      <formula>NOT(ISERROR(SEARCH("Specify complete references and data sources used here",C83)))</formula>
    </cfRule>
  </conditionalFormatting>
  <dataValidations count="7">
    <dataValidation allowBlank="1" showInputMessage="1" showErrorMessage="1" prompt="More details are found in 'READ ME' tab" sqref="L13:O13 D13" xr:uid="{B4D7B7FC-E8D7-4C1B-974F-5315503DC18D}"/>
    <dataValidation type="textLength" operator="lessThanOrEqual" allowBlank="1" showInputMessage="1" showErrorMessage="1" error="The cell only allows up to 700 characters._x000a_" prompt="Maximum length: 700 characters" sqref="L11:O11" xr:uid="{C5AE93C3-C533-4DD9-9795-E0F27DA99FD2}">
      <formula1>700</formula1>
    </dataValidation>
    <dataValidation type="list" allowBlank="1" showInputMessage="1" showErrorMessage="1" sqref="L32:O32" xr:uid="{9901DC60-A1E1-4973-90BC-3DD1AF773D91}">
      <formula1>$X$6:$X$8</formula1>
    </dataValidation>
    <dataValidation type="list" allowBlank="1" showInputMessage="1" showErrorMessage="1" sqref="L9:O9" xr:uid="{F5BF810B-B1A7-456C-9F71-FBD4C582EC0E}">
      <formula1>$X$1:$X$4</formula1>
    </dataValidation>
    <dataValidation type="list" allowBlank="1" showInputMessage="1" showErrorMessage="1" sqref="L10:O10" xr:uid="{29D3573C-0C52-46C7-9055-4E9461B109EE}">
      <formula1>$D$3:$D$14</formula1>
    </dataValidation>
    <dataValidation type="list" allowBlank="1" showInputMessage="1" showErrorMessage="1" sqref="L7:O7" xr:uid="{D86DA10A-1FF8-4068-B238-00E13191ECA8}">
      <formula1>$B$3:$B$24</formula1>
    </dataValidation>
    <dataValidation type="list" allowBlank="1" showInputMessage="1" showErrorMessage="1" prompt="More details are found in 'READ ME' tab" sqref="L12:O12" xr:uid="{455B2EE1-DA0C-4FC7-8B40-616F3DC8FB94}">
      <formula1>$C$17:$C$29</formula1>
    </dataValidation>
  </dataValidations>
  <pageMargins left="0.7" right="0.7" top="0.75" bottom="0.75" header="0.3" footer="0.3"/>
  <pageSetup paperSize="9" scale="27" orientation="landscape" r:id="rId1"/>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prompt="More details are found in 'READ ME' tab" xr:uid="{3B2EFD59-C82A-4C21-BC7E-5967DA275EBD}">
          <x14:formula1>
            <xm:f>'READ ME'!$C$21:$C$29</xm:f>
          </x14:formula1>
          <xm:sqref>D12</xm:sqref>
        </x14:dataValidation>
        <x14:dataValidation type="list" allowBlank="1" showInputMessage="1" showErrorMessage="1" xr:uid="{F2D99DDC-1834-4945-A4B5-BD6659E600DE}">
          <x14:formula1>
            <xm:f>List!$X$6:$X$8</xm:f>
          </x14:formula1>
          <xm:sqref>D32</xm:sqref>
        </x14:dataValidation>
        <x14:dataValidation type="list" allowBlank="1" showInputMessage="1" showErrorMessage="1" xr:uid="{FCF60EDD-8723-4377-A8DE-0FD5E2B16B26}">
          <x14:formula1>
            <xm:f>List!$D$3:$D$17</xm:f>
          </x14:formula1>
          <xm:sqref>D10</xm:sqref>
        </x14:dataValidation>
        <x14:dataValidation type="list" allowBlank="1" showInputMessage="1" showErrorMessage="1" xr:uid="{76FA057E-DA0C-4011-B7C0-B5F22923686A}">
          <x14:formula1>
            <xm:f>List!$R$3:$R$6</xm:f>
          </x14:formula1>
          <xm:sqref>F67:F74</xm:sqref>
        </x14:dataValidation>
        <x14:dataValidation type="list" allowBlank="1" showInputMessage="1" showErrorMessage="1" xr:uid="{5C14CD96-F0E1-44BA-B106-C1D8217234AF}">
          <x14:formula1>
            <xm:f>List!$H$3:$H$10</xm:f>
          </x14:formula1>
          <xm:sqref>D28</xm:sqref>
        </x14:dataValidation>
        <x14:dataValidation type="list" allowBlank="1" showInputMessage="1" showErrorMessage="1" xr:uid="{6F148484-592E-4739-AA3B-086D9F58AA6B}">
          <x14:formula1>
            <xm:f>List!$B$3:$B$26</xm:f>
          </x14:formula1>
          <xm:sqref>D7</xm:sqref>
        </x14:dataValidation>
        <x14:dataValidation type="list" allowBlank="1" showInputMessage="1" showErrorMessage="1" xr:uid="{514D6F72-5CFB-457A-96D1-251F32E68A05}">
          <x14:formula1>
            <xm:f>List!$F$3:$F$17</xm:f>
          </x14:formula1>
          <xm:sqref>D15:K16</xm:sqref>
        </x14:dataValidation>
        <x14:dataValidation type="list" allowBlank="1" showInputMessage="1" showErrorMessage="1" xr:uid="{CF760670-593A-41D1-8C54-DCBEC36DBEBD}">
          <x14:formula1>
            <xm:f>List!$X$2:$X$4</xm:f>
          </x14:formula1>
          <xm:sqref>D9:K9</xm:sqref>
        </x14:dataValidation>
        <x14:dataValidation type="list" allowBlank="1" showInputMessage="1" showErrorMessage="1" xr:uid="{EDECACFC-8F15-4C64-B465-E09030EB7C87}">
          <x14:formula1>
            <xm:f>List!$P$3:$P$13</xm:f>
          </x14:formula1>
          <xm:sqref>D67:E74</xm:sqref>
        </x14:dataValidation>
        <x14:dataValidation type="list" allowBlank="1" showInputMessage="1" showErrorMessage="1" xr:uid="{B0DBFE3B-5AB8-4599-A340-DC1026EACFA2}">
          <x14:formula1>
            <xm:f>List!$J$2:$J$75</xm:f>
          </x14:formula1>
          <xm:sqref>D47:E48</xm:sqref>
        </x14:dataValidation>
        <x14:dataValidation type="list" allowBlank="1" showInputMessage="1" showErrorMessage="1" xr:uid="{6024F62B-4B5B-4E7B-B1C0-DD051F3161C6}">
          <x14:formula1>
            <xm:f>List!$X$10:$X$13</xm:f>
          </x14:formula1>
          <xm:sqref>F21</xm:sqref>
        </x14:dataValidation>
        <x14:dataValidation type="list" allowBlank="1" showInputMessage="1" showErrorMessage="1" xr:uid="{67E90E8D-C3BA-4EE5-A845-0834B3E011DB}">
          <x14:formula1>
            <xm:f>List!$J$3:$J$69</xm:f>
          </x14:formula1>
          <xm:sqref>D49:E54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73"/>
  <sheetViews>
    <sheetView tabSelected="1" zoomScale="78" zoomScaleNormal="78" workbookViewId="0">
      <selection activeCell="D28" sqref="D28:O28"/>
    </sheetView>
  </sheetViews>
  <sheetFormatPr defaultColWidth="11" defaultRowHeight="15.75"/>
  <cols>
    <col min="1" max="1" width="4.875" customWidth="1"/>
    <col min="2" max="3" width="15.5" customWidth="1"/>
    <col min="4" max="4" width="13.625" customWidth="1"/>
    <col min="5" max="5" width="13.75" customWidth="1"/>
    <col min="6" max="6" width="10.875" customWidth="1"/>
    <col min="52" max="52" width="131" hidden="1" customWidth="1"/>
  </cols>
  <sheetData>
    <row r="1" spans="1:52" ht="21">
      <c r="B1" s="3" t="s">
        <v>241</v>
      </c>
      <c r="C1" s="1"/>
      <c r="D1" s="1"/>
      <c r="E1" s="1"/>
      <c r="F1" s="1"/>
      <c r="G1" s="1"/>
      <c r="H1" s="1"/>
      <c r="I1" s="1"/>
      <c r="J1" s="1"/>
      <c r="K1" s="1"/>
      <c r="L1" s="1"/>
      <c r="M1" s="1"/>
      <c r="N1" s="1"/>
      <c r="O1" s="1"/>
      <c r="AZ1" s="107"/>
    </row>
    <row r="2" spans="1:52" ht="23.25" customHeight="1" thickBot="1">
      <c r="A2" s="1"/>
      <c r="C2" s="1"/>
      <c r="D2" s="1"/>
      <c r="E2" s="1"/>
      <c r="F2" s="1"/>
      <c r="G2" s="1"/>
      <c r="H2" s="1"/>
      <c r="I2" s="1"/>
      <c r="J2" s="1"/>
      <c r="K2" s="1"/>
      <c r="L2" s="1"/>
      <c r="M2" s="1"/>
      <c r="N2" s="1"/>
      <c r="O2" s="1"/>
      <c r="AZ2" s="107"/>
    </row>
    <row r="3" spans="1:52" ht="22.5" customHeight="1" thickTop="1" thickBot="1">
      <c r="A3" s="1"/>
      <c r="B3" s="460" t="str">
        <f>IF('Data input'!D5="Specify here"," ",UPPER('Data input'!D5))</f>
        <v>BIOMASS BOILER FOR BUILT ENVIRONMENT &gt;5 MWTH</v>
      </c>
      <c r="C3" s="461"/>
      <c r="D3" s="461"/>
      <c r="E3" s="461"/>
      <c r="F3" s="461"/>
      <c r="G3" s="461"/>
      <c r="H3" s="461"/>
      <c r="I3" s="461"/>
      <c r="J3" s="461"/>
      <c r="K3" s="461"/>
      <c r="L3" s="461"/>
      <c r="M3" s="461"/>
      <c r="N3" s="461"/>
      <c r="O3" s="462"/>
      <c r="AZ3" s="107"/>
    </row>
    <row r="4" spans="1:52" ht="16.5" thickBot="1">
      <c r="A4" s="1"/>
      <c r="B4" s="463" t="s">
        <v>165</v>
      </c>
      <c r="C4" s="464"/>
      <c r="D4" s="465">
        <f>IF('Data input'!D6="DD-MM-YYYY"," ",'Data input'!D6)</f>
        <v>43346</v>
      </c>
      <c r="E4" s="466"/>
      <c r="F4" s="466"/>
      <c r="G4" s="466"/>
      <c r="H4" s="466"/>
      <c r="I4" s="466"/>
      <c r="J4" s="466"/>
      <c r="K4" s="466"/>
      <c r="L4" s="466"/>
      <c r="M4" s="466"/>
      <c r="N4" s="466"/>
      <c r="O4" s="467"/>
      <c r="AZ4" s="107"/>
    </row>
    <row r="5" spans="1:52" ht="16.5" thickBot="1">
      <c r="A5" s="1"/>
      <c r="B5" s="163" t="s">
        <v>242</v>
      </c>
      <c r="C5" s="164"/>
      <c r="D5" s="165" t="s">
        <v>243</v>
      </c>
      <c r="E5" s="166"/>
      <c r="F5" s="166"/>
      <c r="G5" s="166"/>
      <c r="H5" s="166"/>
      <c r="I5" s="166"/>
      <c r="J5" s="166"/>
      <c r="K5" s="166"/>
      <c r="L5" s="166"/>
      <c r="M5" s="166"/>
      <c r="N5" s="166"/>
      <c r="O5" s="167"/>
      <c r="AZ5" s="107"/>
    </row>
    <row r="6" spans="1:52">
      <c r="A6" s="1"/>
      <c r="B6" s="473" t="s">
        <v>13</v>
      </c>
      <c r="C6" s="474"/>
      <c r="D6" s="477" t="str">
        <f>IF('Data input'!D7="Please select"," ",'Data input'!D7)</f>
        <v>Built environment</v>
      </c>
      <c r="E6" s="478"/>
      <c r="F6" s="478"/>
      <c r="G6" s="478"/>
      <c r="H6" s="478"/>
      <c r="I6" s="478"/>
      <c r="J6" s="478"/>
      <c r="K6" s="478"/>
      <c r="L6" s="478"/>
      <c r="M6" s="478"/>
      <c r="N6" s="478"/>
      <c r="O6" s="479"/>
      <c r="AZ6" s="107"/>
    </row>
    <row r="7" spans="1:52" ht="16.5" thickBot="1">
      <c r="A7" s="1"/>
      <c r="B7" s="475"/>
      <c r="C7" s="476"/>
      <c r="D7" s="468" t="str">
        <f>IF('Data input'!D8="Other (specify here)"," ",'Data input'!D8)</f>
        <v>District heating</v>
      </c>
      <c r="E7" s="469"/>
      <c r="F7" s="469"/>
      <c r="G7" s="469"/>
      <c r="H7" s="469"/>
      <c r="I7" s="469"/>
      <c r="J7" s="469"/>
      <c r="K7" s="469"/>
      <c r="L7" s="469"/>
      <c r="M7" s="469"/>
      <c r="N7" s="469"/>
      <c r="O7" s="470"/>
      <c r="AZ7" s="107"/>
    </row>
    <row r="8" spans="1:52" ht="16.5" thickBot="1">
      <c r="A8" s="1"/>
      <c r="B8" s="471" t="s">
        <v>17</v>
      </c>
      <c r="C8" s="472"/>
      <c r="D8" s="468" t="str">
        <f>IF('Data input'!D9="Please select"," ",'Data input'!D9)</f>
        <v>Non-ETS</v>
      </c>
      <c r="E8" s="469"/>
      <c r="F8" s="469"/>
      <c r="G8" s="469"/>
      <c r="H8" s="469"/>
      <c r="I8" s="469"/>
      <c r="J8" s="469"/>
      <c r="K8" s="469"/>
      <c r="L8" s="469"/>
      <c r="M8" s="469"/>
      <c r="N8" s="469"/>
      <c r="O8" s="470"/>
      <c r="AZ8" s="107"/>
    </row>
    <row r="9" spans="1:52" ht="16.5" thickBot="1">
      <c r="A9" s="1"/>
      <c r="B9" s="471" t="s">
        <v>19</v>
      </c>
      <c r="C9" s="472"/>
      <c r="D9" s="468" t="str">
        <f>IF('Data input'!D10="Please select"," ",'Data input'!D10)</f>
        <v>Biomass</v>
      </c>
      <c r="E9" s="469"/>
      <c r="F9" s="469"/>
      <c r="G9" s="469"/>
      <c r="H9" s="469"/>
      <c r="I9" s="469"/>
      <c r="J9" s="469"/>
      <c r="K9" s="469"/>
      <c r="L9" s="469"/>
      <c r="M9" s="469"/>
      <c r="N9" s="469"/>
      <c r="O9" s="470"/>
      <c r="AZ9" s="107"/>
    </row>
    <row r="10" spans="1:52" ht="48" thickBot="1">
      <c r="A10" s="1"/>
      <c r="B10" s="480" t="s">
        <v>22</v>
      </c>
      <c r="C10" s="481"/>
      <c r="D10" s="371" t="str">
        <f>IF('Data input'!D11="Specify here"," ",'Data input'!D11)</f>
        <v xml:space="preserve">Refers to a hot water boiler that supplies heat to a district heating network. Wood pellets are used as reference fuel. A selective non-catalytic reduction (SNCR) is taken into account for the reduction of NOx. Thus, the main components consist of a wood pellet silo storage, where wood pellets can be stored up to one week, in addition to a pellet boiler, SNCR, other mechanical components and a simple building. </v>
      </c>
      <c r="E10" s="372"/>
      <c r="F10" s="372"/>
      <c r="G10" s="372"/>
      <c r="H10" s="372"/>
      <c r="I10" s="372"/>
      <c r="J10" s="372"/>
      <c r="K10" s="372"/>
      <c r="L10" s="372"/>
      <c r="M10" s="372"/>
      <c r="N10" s="372"/>
      <c r="O10" s="373"/>
      <c r="AZ10" s="107" t="str">
        <f>D10</f>
        <v xml:space="preserve">Refers to a hot water boiler that supplies heat to a district heating network. Wood pellets are used as reference fuel. A selective non-catalytic reduction (SNCR) is taken into account for the reduction of NOx. Thus, the main components consist of a wood pellet silo storage, where wood pellets can be stored up to one week, in addition to a pellet boiler, SNCR, other mechanical components and a simple building. </v>
      </c>
    </row>
    <row r="11" spans="1:52" ht="16.5" thickBot="1">
      <c r="A11" s="1"/>
      <c r="B11" s="163" t="s">
        <v>171</v>
      </c>
      <c r="C11" s="168"/>
      <c r="D11" s="482" t="str">
        <f>IF('Data input'!D12="Select the observed or expected TRL level in 2020"," ",'Data input'!D12)</f>
        <v>TRL 9</v>
      </c>
      <c r="E11" s="483"/>
      <c r="F11" s="483"/>
      <c r="G11" s="483"/>
      <c r="H11" s="483"/>
      <c r="I11" s="483"/>
      <c r="J11" s="483"/>
      <c r="K11" s="483"/>
      <c r="L11" s="483"/>
      <c r="M11" s="483"/>
      <c r="N11" s="483"/>
      <c r="O11" s="484"/>
      <c r="AZ11" s="107"/>
    </row>
    <row r="12" spans="1:52" ht="16.5" thickBot="1">
      <c r="A12" s="1"/>
      <c r="B12" s="169"/>
      <c r="C12" s="170"/>
      <c r="D12" s="371"/>
      <c r="E12" s="372"/>
      <c r="F12" s="372"/>
      <c r="G12" s="372"/>
      <c r="H12" s="372"/>
      <c r="I12" s="372"/>
      <c r="J12" s="372"/>
      <c r="K12" s="372"/>
      <c r="L12" s="372"/>
      <c r="M12" s="372"/>
      <c r="N12" s="372"/>
      <c r="O12" s="373"/>
      <c r="AZ12" s="107">
        <f>D12</f>
        <v>0</v>
      </c>
    </row>
    <row r="13" spans="1:52" ht="16.5" thickBot="1">
      <c r="A13" s="1"/>
      <c r="B13" s="485" t="s">
        <v>47</v>
      </c>
      <c r="C13" s="486"/>
      <c r="D13" s="486"/>
      <c r="E13" s="486"/>
      <c r="F13" s="486"/>
      <c r="G13" s="486"/>
      <c r="H13" s="486"/>
      <c r="I13" s="486"/>
      <c r="J13" s="486"/>
      <c r="K13" s="486"/>
      <c r="L13" s="486"/>
      <c r="M13" s="486"/>
      <c r="N13" s="486"/>
      <c r="O13" s="487"/>
      <c r="AZ13" s="107"/>
    </row>
    <row r="14" spans="1:52">
      <c r="A14" s="1"/>
      <c r="B14" s="473"/>
      <c r="C14" s="474"/>
      <c r="D14" s="499" t="s">
        <v>173</v>
      </c>
      <c r="E14" s="500"/>
      <c r="F14" s="501"/>
      <c r="G14" s="497" t="s">
        <v>244</v>
      </c>
      <c r="H14" s="374"/>
      <c r="I14" s="374"/>
      <c r="J14" s="374"/>
      <c r="K14" s="374"/>
      <c r="L14" s="374"/>
      <c r="M14" s="374"/>
      <c r="N14" s="498"/>
      <c r="O14" s="375"/>
      <c r="AZ14" s="107"/>
    </row>
    <row r="15" spans="1:52">
      <c r="A15" s="1"/>
      <c r="B15" s="458" t="s">
        <v>52</v>
      </c>
      <c r="C15" s="459"/>
      <c r="D15" s="446" t="str">
        <f>IF('Data input'!D18="Select Functional Unit above","",'Data input'!D18)</f>
        <v>MW</v>
      </c>
      <c r="E15" s="447"/>
      <c r="F15" s="448"/>
      <c r="G15" s="454">
        <f>'Data input'!G18</f>
        <v>16.7</v>
      </c>
      <c r="H15" s="455"/>
      <c r="I15" s="455"/>
      <c r="J15" s="455"/>
      <c r="K15" s="455"/>
      <c r="L15" s="455"/>
      <c r="M15" s="455"/>
      <c r="N15" s="456"/>
      <c r="O15" s="457"/>
      <c r="AZ15" s="107"/>
    </row>
    <row r="16" spans="1:52" ht="16.5" thickBot="1">
      <c r="A16" s="1"/>
      <c r="B16" s="87"/>
      <c r="C16" s="171"/>
      <c r="D16" s="348"/>
      <c r="E16" s="449"/>
      <c r="F16" s="450"/>
      <c r="G16" s="416">
        <f>IF('Data input'!G18="","Min",MIN('Data input'!G18:K18))</f>
        <v>16.7</v>
      </c>
      <c r="H16" s="417"/>
      <c r="I16" s="417"/>
      <c r="J16" s="417" t="s">
        <v>245</v>
      </c>
      <c r="K16" s="417"/>
      <c r="L16" s="417"/>
      <c r="M16" s="417">
        <f>IF('Data input'!G18="","Max",MAX('Data input'!G18:K18))</f>
        <v>16.7</v>
      </c>
      <c r="N16" s="418"/>
      <c r="O16" s="419"/>
      <c r="AZ16" s="107"/>
    </row>
    <row r="17" spans="1:52">
      <c r="A17" s="1"/>
      <c r="B17" s="88"/>
      <c r="C17" s="172"/>
      <c r="D17" s="443" t="str">
        <f>IF('Data input'!D21="Select Functional Unit above","",'Data input'!D21)</f>
        <v>MW</v>
      </c>
      <c r="E17" s="444"/>
      <c r="F17" s="420" t="str">
        <f>IF('Data input'!F21="Please select the region","",'Data input'!F21)</f>
        <v>NL</v>
      </c>
      <c r="G17" s="441" t="s">
        <v>246</v>
      </c>
      <c r="H17" s="374"/>
      <c r="I17" s="374"/>
      <c r="J17" s="374">
        <v>2030</v>
      </c>
      <c r="K17" s="374"/>
      <c r="L17" s="374"/>
      <c r="M17" s="374">
        <v>2050</v>
      </c>
      <c r="N17" s="374"/>
      <c r="O17" s="375"/>
      <c r="AZ17" s="107"/>
    </row>
    <row r="18" spans="1:52">
      <c r="A18" s="1"/>
      <c r="B18" s="88" t="s">
        <v>57</v>
      </c>
      <c r="C18" s="173"/>
      <c r="D18" s="445"/>
      <c r="E18" s="401"/>
      <c r="F18" s="421"/>
      <c r="G18" s="442">
        <f>'Data input'!G22</f>
        <v>0</v>
      </c>
      <c r="H18" s="339"/>
      <c r="I18" s="339"/>
      <c r="J18" s="339">
        <f>'Data input'!L22</f>
        <v>0</v>
      </c>
      <c r="K18" s="339"/>
      <c r="L18" s="339"/>
      <c r="M18" s="339">
        <f>'Data input'!Q22</f>
        <v>0</v>
      </c>
      <c r="N18" s="339"/>
      <c r="O18" s="340"/>
      <c r="AZ18" s="107"/>
    </row>
    <row r="19" spans="1:52" ht="16.5" thickBot="1">
      <c r="A19" s="1"/>
      <c r="B19" s="87"/>
      <c r="C19" s="171"/>
      <c r="D19" s="445"/>
      <c r="E19" s="401"/>
      <c r="F19" s="421"/>
      <c r="G19" s="174" t="str">
        <f>IF('Data input'!G22="","Min",MIN('Data input'!G22:K22))</f>
        <v>Min</v>
      </c>
      <c r="H19" s="175" t="s">
        <v>245</v>
      </c>
      <c r="I19" s="175" t="str">
        <f>IF('Data input'!G22="","Max",MAX('Data input'!G22:K22))</f>
        <v>Max</v>
      </c>
      <c r="J19" s="175" t="str">
        <f>IF('Data input'!L22="","Min",MIN('Data input'!L22:P22))</f>
        <v>Min</v>
      </c>
      <c r="K19" s="175" t="s">
        <v>245</v>
      </c>
      <c r="L19" s="175" t="str">
        <f>IF('Data input'!L22="","Max",MAX('Data input'!L22:P22))</f>
        <v>Max</v>
      </c>
      <c r="M19" s="175" t="str">
        <f>IF('Data input'!Q22="","Min",MIN('Data input'!Q22:U22))</f>
        <v>Min</v>
      </c>
      <c r="N19" s="175" t="s">
        <v>245</v>
      </c>
      <c r="O19" s="176" t="str">
        <f>IF('Data input'!Q22="","Max",MAX('Data input'!Q22:U22))</f>
        <v>Max</v>
      </c>
      <c r="AZ19" s="107"/>
    </row>
    <row r="20" spans="1:52">
      <c r="A20" s="1"/>
      <c r="B20" s="88" t="s">
        <v>184</v>
      </c>
      <c r="C20" s="173"/>
      <c r="D20" s="346" t="s">
        <v>185</v>
      </c>
      <c r="E20" s="347"/>
      <c r="F20" s="350" t="str">
        <f>IF('Data input'!F24="Specify here the market","",'Data input'!F24)</f>
        <v/>
      </c>
      <c r="G20" s="442">
        <f>'Data input'!G24</f>
        <v>0</v>
      </c>
      <c r="H20" s="339"/>
      <c r="I20" s="339"/>
      <c r="J20" s="339">
        <f>'Data input'!L24</f>
        <v>0</v>
      </c>
      <c r="K20" s="339"/>
      <c r="L20" s="339"/>
      <c r="M20" s="339">
        <f>'Data input'!Q24</f>
        <v>0</v>
      </c>
      <c r="N20" s="339"/>
      <c r="O20" s="340"/>
      <c r="AZ20" s="107"/>
    </row>
    <row r="21" spans="1:52" ht="16.5" thickBot="1">
      <c r="A21" s="1"/>
      <c r="B21" s="88"/>
      <c r="C21" s="173"/>
      <c r="D21" s="348"/>
      <c r="E21" s="349"/>
      <c r="F21" s="351"/>
      <c r="G21" s="177" t="str">
        <f>IF('Data input'!G24="","Min",MIN('Data input'!G24:K24))</f>
        <v>Min</v>
      </c>
      <c r="H21" s="178" t="s">
        <v>245</v>
      </c>
      <c r="I21" s="178" t="str">
        <f>IF('Data input'!G24="","Max",MAX('Data input'!G24:K24))</f>
        <v>Max</v>
      </c>
      <c r="J21" s="178" t="str">
        <f>IF('Data input'!L24="","Min",MIN('Data input'!L24:P24))</f>
        <v>Min</v>
      </c>
      <c r="K21" s="178" t="s">
        <v>245</v>
      </c>
      <c r="L21" s="178" t="str">
        <f>IF('Data input'!L24="","Max",MAX('Data input'!L24:P24))</f>
        <v>Max</v>
      </c>
      <c r="M21" s="178" t="str">
        <f>IF('Data input'!Q24="","Min",MIN('Data input'!Q24:U24))</f>
        <v>Min</v>
      </c>
      <c r="N21" s="178" t="s">
        <v>245</v>
      </c>
      <c r="O21" s="179" t="str">
        <f>IF('Data input'!Q24="","Max",MAX('Data input'!Q24:U24))</f>
        <v>Max</v>
      </c>
      <c r="AZ21" s="107"/>
    </row>
    <row r="22" spans="1:52" ht="16.5" thickBot="1">
      <c r="A22" s="1"/>
      <c r="B22" s="360" t="s">
        <v>247</v>
      </c>
      <c r="C22" s="361"/>
      <c r="D22" s="502">
        <f>IF('Data input'!D26="Specify here (if not specified, value will be 1)",1,'Data input'!D26)</f>
        <v>1</v>
      </c>
      <c r="E22" s="503"/>
      <c r="F22" s="503"/>
      <c r="G22" s="503"/>
      <c r="H22" s="503"/>
      <c r="I22" s="503"/>
      <c r="J22" s="503"/>
      <c r="K22" s="503"/>
      <c r="L22" s="503"/>
      <c r="M22" s="503"/>
      <c r="N22" s="503"/>
      <c r="O22" s="504"/>
      <c r="AZ22" s="107"/>
    </row>
    <row r="23" spans="1:52" ht="16.5" thickBot="1">
      <c r="A23" s="1"/>
      <c r="B23" s="360" t="s">
        <v>69</v>
      </c>
      <c r="C23" s="361"/>
      <c r="D23" s="425">
        <f>IF('Data input'!D27="Specify here"," ",'Data input'!D27)</f>
        <v>6000</v>
      </c>
      <c r="E23" s="426"/>
      <c r="F23" s="426"/>
      <c r="G23" s="426"/>
      <c r="H23" s="426"/>
      <c r="I23" s="426"/>
      <c r="J23" s="426"/>
      <c r="K23" s="426"/>
      <c r="L23" s="426"/>
      <c r="M23" s="426"/>
      <c r="N23" s="426"/>
      <c r="O23" s="427"/>
      <c r="AZ23" s="107"/>
    </row>
    <row r="24" spans="1:52" ht="16.5" thickBot="1">
      <c r="A24" s="1"/>
      <c r="B24" s="360" t="s">
        <v>71</v>
      </c>
      <c r="C24" s="361"/>
      <c r="D24" s="148" t="str">
        <f>IF('Data input'!D28="Please select"," ",'Data input'!D28)</f>
        <v xml:space="preserve"> </v>
      </c>
      <c r="E24" s="436" t="str">
        <f>IF('Data input'!D29="Specify here"," ",'Data input'!D29)</f>
        <v xml:space="preserve"> </v>
      </c>
      <c r="F24" s="437"/>
      <c r="G24" s="437"/>
      <c r="H24" s="437"/>
      <c r="I24" s="437"/>
      <c r="J24" s="437"/>
      <c r="K24" s="437"/>
      <c r="L24" s="437"/>
      <c r="M24" s="437"/>
      <c r="N24" s="437"/>
      <c r="O24" s="438"/>
      <c r="AZ24" s="107"/>
    </row>
    <row r="25" spans="1:52" ht="16.5" thickBot="1">
      <c r="A25" s="1"/>
      <c r="B25" s="360" t="s">
        <v>79</v>
      </c>
      <c r="C25" s="361"/>
      <c r="D25" s="422">
        <f>IF('Data input'!D30="Specify here"," ",'Data input'!D30)</f>
        <v>15</v>
      </c>
      <c r="E25" s="423"/>
      <c r="F25" s="423"/>
      <c r="G25" s="423"/>
      <c r="H25" s="423"/>
      <c r="I25" s="423"/>
      <c r="J25" s="423"/>
      <c r="K25" s="423"/>
      <c r="L25" s="423"/>
      <c r="M25" s="423"/>
      <c r="N25" s="423"/>
      <c r="O25" s="424"/>
      <c r="AZ25" s="107"/>
    </row>
    <row r="26" spans="1:52" ht="16.5" thickBot="1">
      <c r="A26" s="1"/>
      <c r="B26" s="360" t="s">
        <v>81</v>
      </c>
      <c r="C26" s="361"/>
      <c r="D26" s="428">
        <f>IF('Data input'!D31="Specify here"," ",'Data input'!D31)</f>
        <v>0</v>
      </c>
      <c r="E26" s="429"/>
      <c r="F26" s="429"/>
      <c r="G26" s="429"/>
      <c r="H26" s="429"/>
      <c r="I26" s="429"/>
      <c r="J26" s="429"/>
      <c r="K26" s="429"/>
      <c r="L26" s="429"/>
      <c r="M26" s="429"/>
      <c r="N26" s="429"/>
      <c r="O26" s="430"/>
      <c r="AZ26" s="107"/>
    </row>
    <row r="27" spans="1:52" ht="16.5" thickBot="1">
      <c r="A27" s="1"/>
      <c r="B27" s="360" t="s">
        <v>83</v>
      </c>
      <c r="C27" s="361"/>
      <c r="D27" s="433" t="str">
        <f>IF('Data input'!D32="Please select"," ",'Data input'!D32)</f>
        <v xml:space="preserve"> </v>
      </c>
      <c r="E27" s="434"/>
      <c r="F27" s="434"/>
      <c r="G27" s="434"/>
      <c r="H27" s="434"/>
      <c r="I27" s="434"/>
      <c r="J27" s="434"/>
      <c r="K27" s="434"/>
      <c r="L27" s="434"/>
      <c r="M27" s="434"/>
      <c r="N27" s="434"/>
      <c r="O27" s="435"/>
      <c r="AZ27" s="107"/>
    </row>
    <row r="28" spans="1:52" ht="248.25" customHeight="1" thickBot="1">
      <c r="A28" s="1"/>
      <c r="B28" s="431" t="s">
        <v>190</v>
      </c>
      <c r="C28" s="432"/>
      <c r="D28" s="371" t="str">
        <f>IF('Data input'!D33="Explain here (e.g. other technical dimensions, region covered for potential such as NL or EU)"," ",'Data input'!D33)</f>
        <v xml:space="preserve">The functional unit MW refers to MWth input. The number of full load hours of such a boiler can vary greatly. It is assumed that the boiler covers a large part of the base load and can also function as a seasonal boiler. That is why the full load hours are set to 6,000. 
The solid biomass potential can be based on the biomass potential studies conducted by DNV GL and the Biomass Policies project. These studies looked at the biomass potential in the Netherlands. The feedstock categories included are: waste wood, forest residues, fuel wood (refers to only current fuel wood use), nature and landscape biomass, and woody/lignocelluloses dedicated crops (this category is included in the Biomass Policies project). These studies indicate the solid biomass potential to be in the range of  41-46 PJ in 2020, increasing to 58.7-72.8 PJ in 2030.  
The import potential to the Netherlands is more difficult to determine. It will depend, amongst others, on the policy frameworks within the EU member states and outside. The  biomass potential in Europe has been defined by a number of studies. The most recent ones are Biomass Policies (Elbersen et al, 2015 ), JRC EU-TIMES (Ruiz et al., 2015) and BioSustain (PWC, 2017). Amongst these studies, the lowest range (referred to as low availability) and the highest range (referred to as high availability) are observed in the JRC study. According to this study, in 2020 the lowest and the highest EU total biomass potential are 8.33-18.17 EJ. In 2030, this range is 8.61-19.97 EJ and in 2050 it is 8.16-21.13 EJ. How much of this potential can be considered as  import potential to the Netherlands will depend on the national policies of each country and the intra EU trade developments regarding wood chips and wood pellets. 
There is also wood chips and wood pellets import potential to Europe and to the Netherlands from regions outside of the EU (form the US, Canada, Russia and Ukraine, Latin and Central America etc). Biomass Policies defines the import potential as 16.67 EJ in 2030, whereas JRC defines it as 0.28-0.52 EJ, increasing to 0.94 EJ. </v>
      </c>
      <c r="E28" s="372"/>
      <c r="F28" s="372"/>
      <c r="G28" s="372"/>
      <c r="H28" s="372"/>
      <c r="I28" s="372"/>
      <c r="J28" s="372"/>
      <c r="K28" s="372"/>
      <c r="L28" s="372"/>
      <c r="M28" s="372"/>
      <c r="N28" s="372"/>
      <c r="O28" s="373"/>
      <c r="AZ28" s="107" t="str">
        <f>D28</f>
        <v xml:space="preserve">The functional unit MW refers to MWth input. The number of full load hours of such a boiler can vary greatly. It is assumed that the boiler covers a large part of the base load and can also function as a seasonal boiler. That is why the full load hours are set to 6,000. 
The solid biomass potential can be based on the biomass potential studies conducted by DNV GL and the Biomass Policies project. These studies looked at the biomass potential in the Netherlands. The feedstock categories included are: waste wood, forest residues, fuel wood (refers to only current fuel wood use), nature and landscape biomass, and woody/lignocelluloses dedicated crops (this category is included in the Biomass Policies project). These studies indicate the solid biomass potential to be in the range of  41-46 PJ in 2020, increasing to 58.7-72.8 PJ in 2030.  
The import potential to the Netherlands is more difficult to determine. It will depend, amongst others, on the policy frameworks within the EU member states and outside. The  biomass potential in Europe has been defined by a number of studies. The most recent ones are Biomass Policies (Elbersen et al, 2015 ), JRC EU-TIMES (Ruiz et al., 2015) and BioSustain (PWC, 2017). Amongst these studies, the lowest range (referred to as low availability) and the highest range (referred to as high availability) are observed in the JRC study. According to this study, in 2020 the lowest and the highest EU total biomass potential are 8.33-18.17 EJ. In 2030, this range is 8.61-19.97 EJ and in 2050 it is 8.16-21.13 EJ. How much of this potential can be considered as  import potential to the Netherlands will depend on the national policies of each country and the intra EU trade developments regarding wood chips and wood pellets. 
There is also wood chips and wood pellets import potential to Europe and to the Netherlands from regions outside of the EU (form the US, Canada, Russia and Ukraine, Latin and Central America etc). Biomass Policies defines the import potential as 16.67 EJ in 2030, whereas JRC defines it as 0.28-0.52 EJ, increasing to 0.94 EJ. </v>
      </c>
    </row>
    <row r="29" spans="1:52" ht="16.5" thickBot="1">
      <c r="A29" s="1"/>
      <c r="B29" s="451" t="s">
        <v>86</v>
      </c>
      <c r="C29" s="452"/>
      <c r="D29" s="452"/>
      <c r="E29" s="452"/>
      <c r="F29" s="452"/>
      <c r="G29" s="452"/>
      <c r="H29" s="452"/>
      <c r="I29" s="452"/>
      <c r="J29" s="452"/>
      <c r="K29" s="452"/>
      <c r="L29" s="452"/>
      <c r="M29" s="452"/>
      <c r="N29" s="452"/>
      <c r="O29" s="453"/>
      <c r="AZ29" s="107"/>
    </row>
    <row r="30" spans="1:52" ht="16.5" thickBot="1">
      <c r="A30" s="1"/>
      <c r="B30" s="439" t="s">
        <v>87</v>
      </c>
      <c r="C30" s="440"/>
      <c r="D30" s="411">
        <v>2015</v>
      </c>
      <c r="E30" s="412"/>
      <c r="F30" s="412"/>
      <c r="G30" s="412"/>
      <c r="H30" s="412"/>
      <c r="I30" s="412"/>
      <c r="J30" s="412"/>
      <c r="K30" s="412"/>
      <c r="L30" s="412"/>
      <c r="M30" s="412"/>
      <c r="N30" s="412"/>
      <c r="O30" s="413"/>
      <c r="AZ30" s="107"/>
    </row>
    <row r="31" spans="1:52">
      <c r="A31" s="1"/>
      <c r="B31" s="376" t="s">
        <v>90</v>
      </c>
      <c r="C31" s="377"/>
      <c r="D31" s="414" t="s">
        <v>248</v>
      </c>
      <c r="E31" s="415"/>
      <c r="F31" s="415"/>
      <c r="G31" s="374" t="s">
        <v>246</v>
      </c>
      <c r="H31" s="374"/>
      <c r="I31" s="374"/>
      <c r="J31" s="374">
        <v>2030</v>
      </c>
      <c r="K31" s="374"/>
      <c r="L31" s="374"/>
      <c r="M31" s="374">
        <v>2050</v>
      </c>
      <c r="N31" s="374"/>
      <c r="O31" s="375"/>
      <c r="AZ31" s="107"/>
    </row>
    <row r="32" spans="1:52">
      <c r="A32" s="1"/>
      <c r="B32" s="378"/>
      <c r="C32" s="379"/>
      <c r="D32" s="395" t="s">
        <v>194</v>
      </c>
      <c r="E32" s="243" t="str">
        <f>IF('Data input'!D15="Please select"," ",'Data input'!D15)</f>
        <v>MW</v>
      </c>
      <c r="F32" s="244"/>
      <c r="G32" s="408">
        <f>'Data input'!G37</f>
        <v>0.49099999999999999</v>
      </c>
      <c r="H32" s="403"/>
      <c r="I32" s="403"/>
      <c r="J32" s="403">
        <f>'Data input'!L37</f>
        <v>0.49099999999999999</v>
      </c>
      <c r="K32" s="403"/>
      <c r="L32" s="403"/>
      <c r="M32" s="403">
        <f>'Data input'!Q37</f>
        <v>0.49099999999999999</v>
      </c>
      <c r="N32" s="403"/>
      <c r="O32" s="404"/>
      <c r="AZ32" s="107"/>
    </row>
    <row r="33" spans="1:52" ht="16.5" thickBot="1">
      <c r="A33" s="1"/>
      <c r="B33" s="391"/>
      <c r="C33" s="392"/>
      <c r="D33" s="396"/>
      <c r="E33" s="246"/>
      <c r="F33" s="247"/>
      <c r="G33" s="180" t="s">
        <v>249</v>
      </c>
      <c r="H33" s="181" t="s">
        <v>245</v>
      </c>
      <c r="I33" s="181" t="s">
        <v>250</v>
      </c>
      <c r="J33" s="181" t="s">
        <v>249</v>
      </c>
      <c r="K33" s="181" t="s">
        <v>245</v>
      </c>
      <c r="L33" s="181" t="s">
        <v>250</v>
      </c>
      <c r="M33" s="181" t="s">
        <v>249</v>
      </c>
      <c r="N33" s="181" t="s">
        <v>245</v>
      </c>
      <c r="O33" s="182" t="s">
        <v>250</v>
      </c>
      <c r="AZ33" s="107"/>
    </row>
    <row r="34" spans="1:52">
      <c r="A34" s="1"/>
      <c r="B34" s="352" t="s">
        <v>251</v>
      </c>
      <c r="C34" s="353"/>
      <c r="D34" s="389" t="s">
        <v>194</v>
      </c>
      <c r="E34" s="401" t="str">
        <f>IF('Data input'!D15="Please select"," ",'Data input'!D15)</f>
        <v>MW</v>
      </c>
      <c r="F34" s="402"/>
      <c r="G34" s="405" t="s">
        <v>245</v>
      </c>
      <c r="H34" s="399"/>
      <c r="I34" s="399"/>
      <c r="J34" s="394" t="s">
        <v>245</v>
      </c>
      <c r="K34" s="394"/>
      <c r="L34" s="394"/>
      <c r="M34" s="399" t="s">
        <v>245</v>
      </c>
      <c r="N34" s="399"/>
      <c r="O34" s="400"/>
      <c r="AZ34" s="107"/>
    </row>
    <row r="35" spans="1:52" ht="16.5" thickBot="1">
      <c r="A35" s="1"/>
      <c r="B35" s="354"/>
      <c r="C35" s="355"/>
      <c r="D35" s="389"/>
      <c r="E35" s="401"/>
      <c r="F35" s="402"/>
      <c r="G35" s="180" t="s">
        <v>249</v>
      </c>
      <c r="H35" s="181" t="s">
        <v>245</v>
      </c>
      <c r="I35" s="181" t="s">
        <v>250</v>
      </c>
      <c r="J35" s="181" t="s">
        <v>249</v>
      </c>
      <c r="K35" s="181" t="s">
        <v>245</v>
      </c>
      <c r="L35" s="181" t="s">
        <v>250</v>
      </c>
      <c r="M35" s="175" t="s">
        <v>249</v>
      </c>
      <c r="N35" s="175" t="s">
        <v>245</v>
      </c>
      <c r="O35" s="176" t="s">
        <v>250</v>
      </c>
      <c r="AZ35" s="107"/>
    </row>
    <row r="36" spans="1:52">
      <c r="A36" s="1"/>
      <c r="B36" s="376" t="s">
        <v>252</v>
      </c>
      <c r="C36" s="377"/>
      <c r="D36" s="395" t="s">
        <v>194</v>
      </c>
      <c r="E36" s="243" t="str">
        <f>IF('Data input'!D15="Please select"," ",'Data input'!D15)</f>
        <v>MW</v>
      </c>
      <c r="F36" s="244"/>
      <c r="G36" s="408">
        <f>'Data input'!G39</f>
        <v>2.63E-2</v>
      </c>
      <c r="H36" s="403"/>
      <c r="I36" s="403"/>
      <c r="J36" s="403">
        <f>'Data input'!L39</f>
        <v>2.63E-2</v>
      </c>
      <c r="K36" s="403"/>
      <c r="L36" s="403"/>
      <c r="M36" s="403">
        <f>'Data input'!Q39</f>
        <v>2.63E-2</v>
      </c>
      <c r="N36" s="403"/>
      <c r="O36" s="404"/>
      <c r="AZ36" s="107"/>
    </row>
    <row r="37" spans="1:52" ht="16.5" thickBot="1">
      <c r="A37" s="1"/>
      <c r="B37" s="391"/>
      <c r="C37" s="392"/>
      <c r="D37" s="396"/>
      <c r="E37" s="246"/>
      <c r="F37" s="247"/>
      <c r="G37" s="180" t="s">
        <v>249</v>
      </c>
      <c r="H37" s="181" t="s">
        <v>245</v>
      </c>
      <c r="I37" s="181" t="s">
        <v>250</v>
      </c>
      <c r="J37" s="181" t="s">
        <v>249</v>
      </c>
      <c r="K37" s="181" t="s">
        <v>245</v>
      </c>
      <c r="L37" s="181" t="s">
        <v>250</v>
      </c>
      <c r="M37" s="181" t="s">
        <v>249</v>
      </c>
      <c r="N37" s="181" t="s">
        <v>245</v>
      </c>
      <c r="O37" s="182" t="s">
        <v>250</v>
      </c>
      <c r="AZ37" s="107"/>
    </row>
    <row r="38" spans="1:52">
      <c r="A38" s="1"/>
      <c r="B38" s="376" t="s">
        <v>196</v>
      </c>
      <c r="C38" s="377"/>
      <c r="D38" s="389" t="s">
        <v>194</v>
      </c>
      <c r="E38" s="401" t="str">
        <f>IF('Data input'!D15="Please select"," ",'Data input'!D15)</f>
        <v>MW</v>
      </c>
      <c r="F38" s="402"/>
      <c r="G38" s="408">
        <f>ROUND('Data input'!G41,3)</f>
        <v>0</v>
      </c>
      <c r="H38" s="403"/>
      <c r="I38" s="403"/>
      <c r="J38" s="339">
        <f>'Data input'!N41</f>
        <v>0</v>
      </c>
      <c r="K38" s="339"/>
      <c r="L38" s="339"/>
      <c r="M38" s="339">
        <f>'Data input'!Q41</f>
        <v>0</v>
      </c>
      <c r="N38" s="339"/>
      <c r="O38" s="340"/>
      <c r="AZ38" s="107"/>
    </row>
    <row r="39" spans="1:52" ht="16.5" thickBot="1">
      <c r="A39" s="1"/>
      <c r="B39" s="391"/>
      <c r="C39" s="392"/>
      <c r="D39" s="390"/>
      <c r="E39" s="406"/>
      <c r="F39" s="407"/>
      <c r="G39" s="183" t="s">
        <v>249</v>
      </c>
      <c r="H39" s="184" t="s">
        <v>245</v>
      </c>
      <c r="I39" s="184" t="s">
        <v>250</v>
      </c>
      <c r="J39" s="178" t="str">
        <f>IF('Data input'!L41="","Min",MIN('Data input'!L41:P41))</f>
        <v>Min</v>
      </c>
      <c r="K39" s="178" t="s">
        <v>245</v>
      </c>
      <c r="L39" s="178" t="str">
        <f>IF('Data input'!L41="","Max",MAX('Data input'!L41:P41))</f>
        <v>Max</v>
      </c>
      <c r="M39" s="178" t="s">
        <v>249</v>
      </c>
      <c r="N39" s="178" t="s">
        <v>245</v>
      </c>
      <c r="O39" s="179" t="s">
        <v>250</v>
      </c>
      <c r="AZ39" s="107"/>
    </row>
    <row r="40" spans="1:52" ht="79.5" thickBot="1">
      <c r="A40" s="1"/>
      <c r="B40" s="463" t="s">
        <v>198</v>
      </c>
      <c r="C40" s="488"/>
      <c r="D40" s="493" t="str">
        <f>IF('Data input'!D43="Explain here (e.g. other costs)"," ",'Data input'!D43)</f>
        <v xml:space="preserve">In above figures MWth refers to input. Costs data are converted to 2015. 
Investment costs cover the costs regarding wood pellet storage in silos, wood pellet boiler, SNCR installation and the building cost.  In SDE+, costs associated with the construction of the installations, excluding the site costs, are also included in the investment costs. 
The fixed O&amp;M costs include costs for fixed maintenance and operational management (remote controlled boiler). The variable O&amp;M costs refers to the costs for consumables and ash-sale. </v>
      </c>
      <c r="E40" s="494"/>
      <c r="F40" s="494"/>
      <c r="G40" s="494"/>
      <c r="H40" s="494"/>
      <c r="I40" s="494"/>
      <c r="J40" s="494"/>
      <c r="K40" s="494"/>
      <c r="L40" s="494"/>
      <c r="M40" s="494"/>
      <c r="N40" s="494"/>
      <c r="O40" s="495"/>
      <c r="AZ40" s="107" t="str">
        <f>D40</f>
        <v xml:space="preserve">In above figures MWth refers to input. Costs data are converted to 2015. 
Investment costs cover the costs regarding wood pellet storage in silos, wood pellet boiler, SNCR installation and the building cost.  In SDE+, costs associated with the construction of the installations, excluding the site costs, are also included in the investment costs. 
The fixed O&amp;M costs include costs for fixed maintenance and operational management (remote controlled boiler). The variable O&amp;M costs refers to the costs for consumables and ash-sale. </v>
      </c>
    </row>
    <row r="41" spans="1:52" ht="16.5" thickBot="1">
      <c r="A41" s="1"/>
      <c r="B41" s="489" t="s">
        <v>104</v>
      </c>
      <c r="C41" s="490"/>
      <c r="D41" s="491"/>
      <c r="E41" s="491"/>
      <c r="F41" s="491"/>
      <c r="G41" s="491"/>
      <c r="H41" s="491"/>
      <c r="I41" s="491"/>
      <c r="J41" s="491"/>
      <c r="K41" s="491"/>
      <c r="L41" s="491"/>
      <c r="M41" s="491"/>
      <c r="N41" s="491"/>
      <c r="O41" s="492"/>
      <c r="AZ41" s="107"/>
    </row>
    <row r="42" spans="1:52">
      <c r="A42" s="1"/>
      <c r="B42" s="376" t="s">
        <v>203</v>
      </c>
      <c r="C42" s="377"/>
      <c r="D42" s="409" t="s">
        <v>201</v>
      </c>
      <c r="E42" s="410"/>
      <c r="F42" s="157" t="s">
        <v>202</v>
      </c>
      <c r="G42" s="374" t="s">
        <v>246</v>
      </c>
      <c r="H42" s="374"/>
      <c r="I42" s="374"/>
      <c r="J42" s="374">
        <v>2030</v>
      </c>
      <c r="K42" s="374"/>
      <c r="L42" s="374"/>
      <c r="M42" s="374">
        <v>2050</v>
      </c>
      <c r="N42" s="374"/>
      <c r="O42" s="375"/>
      <c r="AZ42" s="107"/>
    </row>
    <row r="43" spans="1:52">
      <c r="A43" s="1"/>
      <c r="B43" s="378"/>
      <c r="C43" s="379"/>
      <c r="D43" s="358" t="s">
        <v>253</v>
      </c>
      <c r="E43" s="359"/>
      <c r="F43" s="264" t="s">
        <v>140</v>
      </c>
      <c r="G43" s="397">
        <f>'Data input'!G47</f>
        <v>-0.9</v>
      </c>
      <c r="H43" s="398"/>
      <c r="I43" s="398"/>
      <c r="J43" s="393">
        <f>'Data input'!L47</f>
        <v>0</v>
      </c>
      <c r="K43" s="339"/>
      <c r="L43" s="339"/>
      <c r="M43" s="339">
        <f>'Data input'!Q47</f>
        <v>0</v>
      </c>
      <c r="N43" s="339"/>
      <c r="O43" s="340"/>
      <c r="P43" s="79"/>
      <c r="AZ43" s="107"/>
    </row>
    <row r="44" spans="1:52">
      <c r="A44" s="1"/>
      <c r="B44" s="378"/>
      <c r="C44" s="379"/>
      <c r="D44" s="356" t="str">
        <f>IF('Data input'!D47="Please select main output here"," ",'Data input'!D47)</f>
        <v>Heat</v>
      </c>
      <c r="E44" s="357"/>
      <c r="F44" s="268"/>
      <c r="G44" s="180">
        <f>IF('Data input'!G47="","Min",MIN('Data input'!G47:K47))</f>
        <v>-0.9</v>
      </c>
      <c r="H44" s="181" t="s">
        <v>245</v>
      </c>
      <c r="I44" s="181">
        <f>IF('Data input'!G47="","Max",MAX('Data input'!G47:K47))</f>
        <v>-0.9</v>
      </c>
      <c r="J44" s="175" t="str">
        <f>IF('Data input'!L47="","Min",MIN('Data input'!L47:P47))</f>
        <v>Min</v>
      </c>
      <c r="K44" s="175" t="s">
        <v>245</v>
      </c>
      <c r="L44" s="175" t="str">
        <f>IF('Data input'!L47="","Max",MAX('Data input'!L47:P47))</f>
        <v>Max</v>
      </c>
      <c r="M44" s="175" t="str">
        <f>IF('Data input'!Q47="","Min",MIN('Data input'!Q47:U47))</f>
        <v>Min</v>
      </c>
      <c r="N44" s="175" t="s">
        <v>245</v>
      </c>
      <c r="O44" s="176" t="str">
        <f>IF('Data input'!Q47="","Max",MAX('Data input'!Q47:U47))</f>
        <v>Max</v>
      </c>
      <c r="AZ44" s="107"/>
    </row>
    <row r="45" spans="1:52">
      <c r="A45" s="1"/>
      <c r="B45" s="378"/>
      <c r="C45" s="379"/>
      <c r="D45" s="380" t="str">
        <f>IF('Data input'!D49="Please select"," ",'Data input'!D49)</f>
        <v>Biomass (wood)</v>
      </c>
      <c r="E45" s="381"/>
      <c r="F45" s="269" t="s">
        <v>140</v>
      </c>
      <c r="G45" s="398">
        <f>'Data input'!G49</f>
        <v>1</v>
      </c>
      <c r="H45" s="398"/>
      <c r="I45" s="398"/>
      <c r="J45" s="393">
        <f>'Data input'!L49</f>
        <v>0</v>
      </c>
      <c r="K45" s="339"/>
      <c r="L45" s="339"/>
      <c r="M45" s="339">
        <f>'Data input'!Q49</f>
        <v>0</v>
      </c>
      <c r="N45" s="339"/>
      <c r="O45" s="340"/>
      <c r="AZ45" s="107"/>
    </row>
    <row r="46" spans="1:52">
      <c r="A46" s="1"/>
      <c r="B46" s="378"/>
      <c r="C46" s="379"/>
      <c r="D46" s="382"/>
      <c r="E46" s="383"/>
      <c r="F46" s="271"/>
      <c r="G46" s="180">
        <f>IF('Data input'!G49="","Min",MIN('Data input'!G49:K49))</f>
        <v>1</v>
      </c>
      <c r="H46" s="181" t="s">
        <v>245</v>
      </c>
      <c r="I46" s="181">
        <f>IF('Data input'!G49="","Max",MAX('Data input'!G49:K49))</f>
        <v>1</v>
      </c>
      <c r="J46" s="175" t="str">
        <f>IF('Data input'!L49="","Min",MIN('Data input'!L49:P49))</f>
        <v>Min</v>
      </c>
      <c r="K46" s="175" t="s">
        <v>245</v>
      </c>
      <c r="L46" s="175" t="str">
        <f>IF('Data input'!L49="","Max",MAX('Data input'!L49:P49))</f>
        <v>Max</v>
      </c>
      <c r="M46" s="175" t="str">
        <f>IF('Data input'!Q49="","Min",MIN('Data input'!Q49:U49))</f>
        <v>Min</v>
      </c>
      <c r="N46" s="175" t="s">
        <v>245</v>
      </c>
      <c r="O46" s="176" t="str">
        <f>IF('Data input'!Q49="","Max",MAX('Data input'!Q49:U49))</f>
        <v>Max</v>
      </c>
      <c r="AZ46" s="107"/>
    </row>
    <row r="47" spans="1:52">
      <c r="A47" s="1"/>
      <c r="B47" s="378"/>
      <c r="C47" s="379"/>
      <c r="D47" s="384"/>
      <c r="E47" s="385"/>
      <c r="F47" s="269" t="s">
        <v>140</v>
      </c>
      <c r="G47" s="339">
        <f>'Data input'!G51</f>
        <v>0</v>
      </c>
      <c r="H47" s="339"/>
      <c r="I47" s="339"/>
      <c r="J47" s="393">
        <f>'Data input'!L51</f>
        <v>0</v>
      </c>
      <c r="K47" s="339"/>
      <c r="L47" s="339"/>
      <c r="M47" s="339">
        <f>'Data input'!Q51</f>
        <v>0</v>
      </c>
      <c r="N47" s="339"/>
      <c r="O47" s="340"/>
      <c r="AZ47" s="107"/>
    </row>
    <row r="48" spans="1:52">
      <c r="A48" s="1"/>
      <c r="B48" s="378"/>
      <c r="C48" s="379"/>
      <c r="D48" s="382"/>
      <c r="E48" s="383"/>
      <c r="F48" s="271"/>
      <c r="G48" s="185" t="str">
        <f>IF('Data input'!G51="","Min",MIN('Data input'!G51:K51))</f>
        <v>Min</v>
      </c>
      <c r="H48" s="175" t="s">
        <v>245</v>
      </c>
      <c r="I48" s="175" t="str">
        <f>IF('Data input'!G51="","Max",MAX('Data input'!G51:K51))</f>
        <v>Max</v>
      </c>
      <c r="J48" s="175" t="str">
        <f>IF('Data input'!L51="","Min",MIN('Data input'!L51:P51))</f>
        <v>Min</v>
      </c>
      <c r="K48" s="175" t="s">
        <v>245</v>
      </c>
      <c r="L48" s="175" t="str">
        <f>IF('Data input'!L51="","Max",MAX('Data input'!L51:P51))</f>
        <v>Max</v>
      </c>
      <c r="M48" s="175" t="str">
        <f>IF('Data input'!Q51="","Min",MIN('Data input'!Q51:U51))</f>
        <v>Min</v>
      </c>
      <c r="N48" s="175" t="s">
        <v>245</v>
      </c>
      <c r="O48" s="176" t="str">
        <f>IF('Data input'!Q51="","Max",MAX('Data input'!Q51:U51))</f>
        <v>Max</v>
      </c>
      <c r="AZ48" s="107"/>
    </row>
    <row r="49" spans="1:52">
      <c r="A49" s="1"/>
      <c r="B49" s="378"/>
      <c r="C49" s="379"/>
      <c r="D49" s="384" t="str">
        <f>IF('Data input'!D53="Please select"," ",'Data input'!D53)</f>
        <v xml:space="preserve"> </v>
      </c>
      <c r="E49" s="385"/>
      <c r="F49" s="269" t="s">
        <v>140</v>
      </c>
      <c r="G49" s="339">
        <f>'Data input'!G53</f>
        <v>0</v>
      </c>
      <c r="H49" s="339"/>
      <c r="I49" s="339"/>
      <c r="J49" s="393">
        <f>'Data input'!L53</f>
        <v>0</v>
      </c>
      <c r="K49" s="339"/>
      <c r="L49" s="339"/>
      <c r="M49" s="339">
        <f>'Data input'!Q53</f>
        <v>0</v>
      </c>
      <c r="N49" s="339"/>
      <c r="O49" s="340"/>
      <c r="AZ49" s="107"/>
    </row>
    <row r="50" spans="1:52" ht="16.5" thickBot="1">
      <c r="A50" s="1"/>
      <c r="B50" s="378"/>
      <c r="C50" s="379"/>
      <c r="D50" s="386"/>
      <c r="E50" s="387"/>
      <c r="F50" s="388"/>
      <c r="G50" s="186" t="str">
        <f>IF('Data input'!G53="","Min",MIN('Data input'!G53:K53))</f>
        <v>Min</v>
      </c>
      <c r="H50" s="178" t="s">
        <v>245</v>
      </c>
      <c r="I50" s="178" t="str">
        <f>IF('Data input'!G53="","Max",MAX('Data input'!G53:K53))</f>
        <v>Max</v>
      </c>
      <c r="J50" s="178" t="str">
        <f>IF('Data input'!L53="","Min",MIN('Data input'!L53:P53))</f>
        <v>Min</v>
      </c>
      <c r="K50" s="178" t="s">
        <v>245</v>
      </c>
      <c r="L50" s="178" t="str">
        <f>IF('Data input'!L53="","Max",MAX('Data input'!L53:P53))</f>
        <v>Max</v>
      </c>
      <c r="M50" s="178" t="str">
        <f>IF('Data input'!Q53="","Min",MIN('Data input'!Q53:U53))</f>
        <v>Min</v>
      </c>
      <c r="N50" s="178" t="s">
        <v>245</v>
      </c>
      <c r="O50" s="179" t="str">
        <f>IF('Data input'!Q53="","Max",MAX('Data input'!Q53:U53))</f>
        <v>Max</v>
      </c>
      <c r="AZ50" s="107"/>
    </row>
    <row r="51" spans="1:52" ht="16.5" thickBot="1">
      <c r="A51" s="1"/>
      <c r="B51" s="376" t="s">
        <v>206</v>
      </c>
      <c r="C51" s="496"/>
      <c r="D51" s="371"/>
      <c r="E51" s="372"/>
      <c r="F51" s="372"/>
      <c r="G51" s="372"/>
      <c r="H51" s="372"/>
      <c r="I51" s="372"/>
      <c r="J51" s="372"/>
      <c r="K51" s="372"/>
      <c r="L51" s="372"/>
      <c r="M51" s="372"/>
      <c r="N51" s="372"/>
      <c r="O51" s="373"/>
      <c r="AZ51" s="107">
        <f>D51</f>
        <v>0</v>
      </c>
    </row>
    <row r="52" spans="1:52" ht="16.5" thickBot="1">
      <c r="A52" s="1"/>
      <c r="B52" s="451" t="s">
        <v>212</v>
      </c>
      <c r="C52" s="452"/>
      <c r="D52" s="486"/>
      <c r="E52" s="486"/>
      <c r="F52" s="486"/>
      <c r="G52" s="486"/>
      <c r="H52" s="486"/>
      <c r="I52" s="486"/>
      <c r="J52" s="486"/>
      <c r="K52" s="486"/>
      <c r="L52" s="486"/>
      <c r="M52" s="486"/>
      <c r="N52" s="486"/>
      <c r="O52" s="487"/>
      <c r="AZ52" s="107"/>
    </row>
    <row r="53" spans="1:52">
      <c r="A53" s="1"/>
      <c r="B53" s="376" t="s">
        <v>116</v>
      </c>
      <c r="C53" s="377"/>
      <c r="D53" s="441" t="s">
        <v>213</v>
      </c>
      <c r="E53" s="374"/>
      <c r="F53" s="157" t="s">
        <v>202</v>
      </c>
      <c r="G53" s="374" t="s">
        <v>246</v>
      </c>
      <c r="H53" s="374"/>
      <c r="I53" s="374"/>
      <c r="J53" s="374">
        <v>2030</v>
      </c>
      <c r="K53" s="374"/>
      <c r="L53" s="374"/>
      <c r="M53" s="374">
        <v>2050</v>
      </c>
      <c r="N53" s="374"/>
      <c r="O53" s="375"/>
      <c r="AZ53" s="107"/>
    </row>
    <row r="54" spans="1:52">
      <c r="A54" s="1"/>
      <c r="B54" s="378"/>
      <c r="C54" s="379"/>
      <c r="D54" s="505" t="str">
        <f>IF('Data input'!D67="Please select"," ",'Data input'!D67)</f>
        <v xml:space="preserve"> </v>
      </c>
      <c r="E54" s="506"/>
      <c r="F54" s="332" t="str">
        <f>IF('Data input'!F67="Please select"," ",'Data input'!F67)</f>
        <v xml:space="preserve"> </v>
      </c>
      <c r="G54" s="339">
        <f>'Data input'!G67</f>
        <v>0</v>
      </c>
      <c r="H54" s="339"/>
      <c r="I54" s="339"/>
      <c r="J54" s="339">
        <f>'Data input'!L67</f>
        <v>0</v>
      </c>
      <c r="K54" s="339"/>
      <c r="L54" s="339"/>
      <c r="M54" s="339">
        <f>'Data input'!Q67</f>
        <v>0</v>
      </c>
      <c r="N54" s="339"/>
      <c r="O54" s="340"/>
      <c r="AZ54" s="107"/>
    </row>
    <row r="55" spans="1:52">
      <c r="A55" s="1"/>
      <c r="B55" s="378"/>
      <c r="C55" s="379"/>
      <c r="D55" s="505"/>
      <c r="E55" s="506"/>
      <c r="F55" s="332"/>
      <c r="G55" s="185" t="str">
        <f>IF('Data input'!G67="","Min",MIN('Data input'!G67:K67))</f>
        <v>Min</v>
      </c>
      <c r="H55" s="175" t="s">
        <v>245</v>
      </c>
      <c r="I55" s="175" t="str">
        <f>IF('Data input'!G67="","Max",MAX('Data input'!G67:K67))</f>
        <v>Max</v>
      </c>
      <c r="J55" s="175" t="str">
        <f>IF('Data input'!L67="","Min",MIN('Data input'!L67:P67))</f>
        <v>Min</v>
      </c>
      <c r="K55" s="175" t="s">
        <v>245</v>
      </c>
      <c r="L55" s="175" t="str">
        <f>IF('Data input'!L67="","Max",MAX('Data input'!L67:P67))</f>
        <v>Max</v>
      </c>
      <c r="M55" s="175" t="str">
        <f>IF('Data input'!Q67="","Min",MIN('Data input'!Q67:U67))</f>
        <v>Min</v>
      </c>
      <c r="N55" s="175" t="s">
        <v>245</v>
      </c>
      <c r="O55" s="176" t="str">
        <f>IF('Data input'!Q67="","Max",MAX('Data input'!Q67:U67))</f>
        <v>Max</v>
      </c>
      <c r="AZ55" s="107"/>
    </row>
    <row r="56" spans="1:52">
      <c r="A56" s="1"/>
      <c r="B56" s="378"/>
      <c r="C56" s="379"/>
      <c r="D56" s="505" t="str">
        <f>IF('Data input'!D69="Please select"," ",'Data input'!D69)</f>
        <v xml:space="preserve"> </v>
      </c>
      <c r="E56" s="506"/>
      <c r="F56" s="332" t="str">
        <f>IF('Data input'!F69="Please select"," ",'Data input'!F69)</f>
        <v xml:space="preserve"> </v>
      </c>
      <c r="G56" s="339">
        <f>'Data input'!G69</f>
        <v>0</v>
      </c>
      <c r="H56" s="339"/>
      <c r="I56" s="339"/>
      <c r="J56" s="339">
        <f>'Data input'!L69</f>
        <v>0</v>
      </c>
      <c r="K56" s="339"/>
      <c r="L56" s="339"/>
      <c r="M56" s="339">
        <f>'Data input'!Q69</f>
        <v>0</v>
      </c>
      <c r="N56" s="339"/>
      <c r="O56" s="340"/>
      <c r="AZ56" s="107"/>
    </row>
    <row r="57" spans="1:52">
      <c r="A57" s="1"/>
      <c r="B57" s="378"/>
      <c r="C57" s="379"/>
      <c r="D57" s="505"/>
      <c r="E57" s="506"/>
      <c r="F57" s="332"/>
      <c r="G57" s="185" t="str">
        <f>IF('Data input'!G69="","Min",MIN('Data input'!G69:K69))</f>
        <v>Min</v>
      </c>
      <c r="H57" s="175" t="s">
        <v>245</v>
      </c>
      <c r="I57" s="175" t="str">
        <f>IF('Data input'!G69="","Max",MAX('Data input'!G69:K69))</f>
        <v>Max</v>
      </c>
      <c r="J57" s="175" t="str">
        <f>IF('Data input'!L69="","Min",MIN('Data input'!L69:P69))</f>
        <v>Min</v>
      </c>
      <c r="K57" s="175" t="s">
        <v>245</v>
      </c>
      <c r="L57" s="175" t="str">
        <f>IF('Data input'!L69="","Max",MAX('Data input'!L69:P69))</f>
        <v>Max</v>
      </c>
      <c r="M57" s="175" t="str">
        <f>IF('Data input'!Q69="","Min",MIN('Data input'!Q69:U69))</f>
        <v>Min</v>
      </c>
      <c r="N57" s="175" t="s">
        <v>245</v>
      </c>
      <c r="O57" s="176" t="str">
        <f>IF('Data input'!Q69="","Max",MAX('Data input'!Q69:U69))</f>
        <v>Max</v>
      </c>
      <c r="AZ57" s="107"/>
    </row>
    <row r="58" spans="1:52">
      <c r="A58" s="1"/>
      <c r="B58" s="378"/>
      <c r="C58" s="379"/>
      <c r="D58" s="505" t="str">
        <f>IF('Data input'!D71="Please select"," ",'Data input'!D71)</f>
        <v xml:space="preserve"> </v>
      </c>
      <c r="E58" s="506"/>
      <c r="F58" s="332" t="str">
        <f>IF('Data input'!F71="Please select"," ",'Data input'!F71)</f>
        <v xml:space="preserve"> </v>
      </c>
      <c r="G58" s="339">
        <f>'Data input'!G71</f>
        <v>0</v>
      </c>
      <c r="H58" s="339"/>
      <c r="I58" s="339"/>
      <c r="J58" s="339">
        <f>'Data input'!L71</f>
        <v>0</v>
      </c>
      <c r="K58" s="339"/>
      <c r="L58" s="339"/>
      <c r="M58" s="339">
        <f>'Data input'!Q71</f>
        <v>0</v>
      </c>
      <c r="N58" s="339"/>
      <c r="O58" s="340"/>
      <c r="AZ58" s="107"/>
    </row>
    <row r="59" spans="1:52">
      <c r="A59" s="1"/>
      <c r="B59" s="378"/>
      <c r="C59" s="379"/>
      <c r="D59" s="505"/>
      <c r="E59" s="506"/>
      <c r="F59" s="332"/>
      <c r="G59" s="185" t="str">
        <f>IF('Data input'!G71="","Min",MIN('Data input'!G71:K71))</f>
        <v>Min</v>
      </c>
      <c r="H59" s="175" t="s">
        <v>245</v>
      </c>
      <c r="I59" s="175" t="str">
        <f>IF('Data input'!G71="","Max",MAX('Data input'!G71:K71))</f>
        <v>Max</v>
      </c>
      <c r="J59" s="175" t="str">
        <f>IF('Data input'!L71="","Min",MIN('Data input'!L71:P71))</f>
        <v>Min</v>
      </c>
      <c r="K59" s="175" t="s">
        <v>245</v>
      </c>
      <c r="L59" s="175" t="str">
        <f>IF('Data input'!L71="","Max",MAX('Data input'!L71:P71))</f>
        <v>Max</v>
      </c>
      <c r="M59" s="175" t="str">
        <f>IF('Data input'!Q71="","Min",MIN('Data input'!Q71:U71))</f>
        <v>Min</v>
      </c>
      <c r="N59" s="175" t="s">
        <v>245</v>
      </c>
      <c r="O59" s="176" t="str">
        <f>IF('Data input'!Q71="","Max",MAX('Data input'!Q71:U71))</f>
        <v>Max</v>
      </c>
      <c r="AZ59" s="107"/>
    </row>
    <row r="60" spans="1:52">
      <c r="A60" s="1"/>
      <c r="B60" s="378"/>
      <c r="C60" s="379"/>
      <c r="D60" s="505" t="str">
        <f>IF('Data input'!D73="Please select"," ",'Data input'!D73)</f>
        <v xml:space="preserve"> </v>
      </c>
      <c r="E60" s="506"/>
      <c r="F60" s="332" t="str">
        <f>IF('Data input'!F73="Please select"," ",'Data input'!F73)</f>
        <v xml:space="preserve"> </v>
      </c>
      <c r="G60" s="339">
        <f>'Data input'!G73</f>
        <v>0</v>
      </c>
      <c r="H60" s="339"/>
      <c r="I60" s="339"/>
      <c r="J60" s="339">
        <f>'Data input'!L73</f>
        <v>0</v>
      </c>
      <c r="K60" s="339"/>
      <c r="L60" s="339"/>
      <c r="M60" s="339">
        <f>'Data input'!Q73</f>
        <v>0</v>
      </c>
      <c r="N60" s="339"/>
      <c r="O60" s="340"/>
      <c r="AZ60" s="107"/>
    </row>
    <row r="61" spans="1:52" ht="16.5" thickBot="1">
      <c r="A61" s="1"/>
      <c r="B61" s="378"/>
      <c r="C61" s="379"/>
      <c r="D61" s="507"/>
      <c r="E61" s="508"/>
      <c r="F61" s="509"/>
      <c r="G61" s="186" t="str">
        <f>IF('Data input'!G73="","Min",MIN('Data input'!G73:K73))</f>
        <v>Min</v>
      </c>
      <c r="H61" s="178" t="s">
        <v>245</v>
      </c>
      <c r="I61" s="178" t="str">
        <f>IF('Data input'!G73="","Max",MAX('Data input'!G73:K73))</f>
        <v>Max</v>
      </c>
      <c r="J61" s="178" t="str">
        <f>IF('Data input'!L73="","Min",MIN('Data input'!L73:P73))</f>
        <v>Min</v>
      </c>
      <c r="K61" s="178" t="s">
        <v>245</v>
      </c>
      <c r="L61" s="178" t="str">
        <f>IF('Data input'!L73="","Max",MAX('Data input'!L73:P73))</f>
        <v>Max</v>
      </c>
      <c r="M61" s="178" t="str">
        <f>IF('Data input'!Q73="","Min",MIN('Data input'!Q73:U73))</f>
        <v>Min</v>
      </c>
      <c r="N61" s="178" t="s">
        <v>245</v>
      </c>
      <c r="O61" s="179" t="str">
        <f>IF('Data input'!Q73="","Max",MAX('Data input'!Q73:U73))</f>
        <v>Max</v>
      </c>
      <c r="AZ61" s="107"/>
    </row>
    <row r="62" spans="1:52" ht="16.5" thickBot="1">
      <c r="A62" s="1"/>
      <c r="B62" s="376" t="s">
        <v>214</v>
      </c>
      <c r="C62" s="496"/>
      <c r="D62" s="371" t="str">
        <f>IF('Data input'!D75="Explain here (e.g. emission factors if calculated)"," ",'Data input'!D75)</f>
        <v xml:space="preserve"> </v>
      </c>
      <c r="E62" s="372"/>
      <c r="F62" s="372"/>
      <c r="G62" s="372"/>
      <c r="H62" s="372"/>
      <c r="I62" s="372"/>
      <c r="J62" s="372"/>
      <c r="K62" s="372"/>
      <c r="L62" s="372"/>
      <c r="M62" s="372"/>
      <c r="N62" s="372"/>
      <c r="O62" s="373"/>
      <c r="AZ62" s="107" t="str">
        <f>D62</f>
        <v xml:space="preserve"> </v>
      </c>
    </row>
    <row r="63" spans="1:52" ht="16.5" thickBot="1">
      <c r="A63" s="1"/>
      <c r="B63" s="485" t="s">
        <v>120</v>
      </c>
      <c r="C63" s="486"/>
      <c r="D63" s="486"/>
      <c r="E63" s="486"/>
      <c r="F63" s="486"/>
      <c r="G63" s="486"/>
      <c r="H63" s="486"/>
      <c r="I63" s="486"/>
      <c r="J63" s="486"/>
      <c r="K63" s="486"/>
      <c r="L63" s="486"/>
      <c r="M63" s="486"/>
      <c r="N63" s="486"/>
      <c r="O63" s="487"/>
      <c r="AZ63" s="107"/>
    </row>
    <row r="64" spans="1:52">
      <c r="A64" s="1"/>
      <c r="B64" s="362" t="str">
        <f>IF('Data input'!C82="Specify complete references and data sources used here"," ",'Data input'!C82)</f>
        <v>SDE+ Eindadvies 2019</v>
      </c>
      <c r="C64" s="363"/>
      <c r="D64" s="363"/>
      <c r="E64" s="363"/>
      <c r="F64" s="363"/>
      <c r="G64" s="363"/>
      <c r="H64" s="363"/>
      <c r="I64" s="363"/>
      <c r="J64" s="363"/>
      <c r="K64" s="363"/>
      <c r="L64" s="363"/>
      <c r="M64" s="363"/>
      <c r="N64" s="363"/>
      <c r="O64" s="364"/>
      <c r="AZ64" s="107" t="str">
        <f>B64</f>
        <v>SDE+ Eindadvies 2019</v>
      </c>
    </row>
    <row r="65" spans="1:52" ht="16.5" customHeight="1">
      <c r="A65" s="1" t="s">
        <v>254</v>
      </c>
      <c r="B65" s="341" t="str">
        <f>IF('Data input'!C83=""," ",'Data input'!C83)</f>
        <v>DHV, 2017. Biomassapotentieel in Nederland. Verkennende studie naar vrij beschikbaar biomassapotentieel voor energieopwekking in Nederland. Paula Schulze, Johan Holstein, Harm Vlap. GCS.17.R.10032629.2</v>
      </c>
      <c r="C65" s="335"/>
      <c r="D65" s="335"/>
      <c r="E65" s="335"/>
      <c r="F65" s="335"/>
      <c r="G65" s="335"/>
      <c r="H65" s="335"/>
      <c r="I65" s="335"/>
      <c r="J65" s="335"/>
      <c r="K65" s="335"/>
      <c r="L65" s="335"/>
      <c r="M65" s="335"/>
      <c r="N65" s="335"/>
      <c r="O65" s="342"/>
      <c r="AZ65" s="107" t="str">
        <f t="shared" ref="AZ65:AZ73" si="0">B65</f>
        <v>DHV, 2017. Biomassapotentieel in Nederland. Verkennende studie naar vrij beschikbaar biomassapotentieel voor energieopwekking in Nederland. Paula Schulze, Johan Holstein, Harm Vlap. GCS.17.R.10032629.2</v>
      </c>
    </row>
    <row r="66" spans="1:52" ht="16.5" thickBot="1">
      <c r="A66" s="1"/>
      <c r="B66" s="365" t="str">
        <f>IF('Data input'!C84=""," ",'Data input'!C84)</f>
        <v xml:space="preserve">Elbersen et. al.2015. Biomass potential in the Netherlands (as part of the biomass Policies project). </v>
      </c>
      <c r="C66" s="366"/>
      <c r="D66" s="366"/>
      <c r="E66" s="366"/>
      <c r="F66" s="366"/>
      <c r="G66" s="366"/>
      <c r="H66" s="366"/>
      <c r="I66" s="366"/>
      <c r="J66" s="366"/>
      <c r="K66" s="366"/>
      <c r="L66" s="366"/>
      <c r="M66" s="366"/>
      <c r="N66" s="366"/>
      <c r="O66" s="367"/>
      <c r="AZ66" s="107" t="str">
        <f t="shared" si="0"/>
        <v xml:space="preserve">Elbersen et. al.2015. Biomass potential in the Netherlands (as part of the biomass Policies project). </v>
      </c>
    </row>
    <row r="67" spans="1:52">
      <c r="A67" s="99"/>
      <c r="B67" s="368" t="str">
        <f>IF('Data input'!C85=""," ",'Data input'!C85)</f>
        <v xml:space="preserve"> </v>
      </c>
      <c r="C67" s="369"/>
      <c r="D67" s="369"/>
      <c r="E67" s="369"/>
      <c r="F67" s="369"/>
      <c r="G67" s="369"/>
      <c r="H67" s="369"/>
      <c r="I67" s="369"/>
      <c r="J67" s="369"/>
      <c r="K67" s="369"/>
      <c r="L67" s="369"/>
      <c r="M67" s="369"/>
      <c r="N67" s="369"/>
      <c r="O67" s="370"/>
      <c r="AZ67" s="107" t="str">
        <f t="shared" si="0"/>
        <v xml:space="preserve"> </v>
      </c>
    </row>
    <row r="68" spans="1:52">
      <c r="A68" s="1"/>
      <c r="B68" s="341" t="str">
        <f>IF('Data input'!C86=""," ",'Data input'!C86)</f>
        <v xml:space="preserve"> </v>
      </c>
      <c r="C68" s="335"/>
      <c r="D68" s="335"/>
      <c r="E68" s="335"/>
      <c r="F68" s="335"/>
      <c r="G68" s="335"/>
      <c r="H68" s="335"/>
      <c r="I68" s="335"/>
      <c r="J68" s="335"/>
      <c r="K68" s="335"/>
      <c r="L68" s="335"/>
      <c r="M68" s="335"/>
      <c r="N68" s="335"/>
      <c r="O68" s="342"/>
      <c r="AZ68" s="107" t="str">
        <f t="shared" si="0"/>
        <v xml:space="preserve"> </v>
      </c>
    </row>
    <row r="69" spans="1:52">
      <c r="A69" s="1"/>
      <c r="B69" s="341" t="str">
        <f>IF('Data input'!C87=""," ",'Data input'!C87)</f>
        <v xml:space="preserve"> </v>
      </c>
      <c r="C69" s="335"/>
      <c r="D69" s="335"/>
      <c r="E69" s="335"/>
      <c r="F69" s="335"/>
      <c r="G69" s="335"/>
      <c r="H69" s="335"/>
      <c r="I69" s="335"/>
      <c r="J69" s="335"/>
      <c r="K69" s="335"/>
      <c r="L69" s="335"/>
      <c r="M69" s="335"/>
      <c r="N69" s="335"/>
      <c r="O69" s="342"/>
      <c r="AZ69" s="107" t="str">
        <f t="shared" si="0"/>
        <v xml:space="preserve"> </v>
      </c>
    </row>
    <row r="70" spans="1:52">
      <c r="A70" s="1"/>
      <c r="B70" s="341" t="str">
        <f>IF('Data input'!C88=""," ",'Data input'!C88)</f>
        <v xml:space="preserve"> </v>
      </c>
      <c r="C70" s="335"/>
      <c r="D70" s="335"/>
      <c r="E70" s="335"/>
      <c r="F70" s="335"/>
      <c r="G70" s="335"/>
      <c r="H70" s="335"/>
      <c r="I70" s="335"/>
      <c r="J70" s="335"/>
      <c r="K70" s="335"/>
      <c r="L70" s="335"/>
      <c r="M70" s="335"/>
      <c r="N70" s="335"/>
      <c r="O70" s="342"/>
      <c r="AZ70" s="107" t="str">
        <f t="shared" si="0"/>
        <v xml:space="preserve"> </v>
      </c>
    </row>
    <row r="71" spans="1:52">
      <c r="A71" s="1"/>
      <c r="B71" s="341" t="str">
        <f>IF('Data input'!C89=""," ",'Data input'!C89)</f>
        <v xml:space="preserve"> </v>
      </c>
      <c r="C71" s="335"/>
      <c r="D71" s="335"/>
      <c r="E71" s="335"/>
      <c r="F71" s="335"/>
      <c r="G71" s="335"/>
      <c r="H71" s="335"/>
      <c r="I71" s="335"/>
      <c r="J71" s="335"/>
      <c r="K71" s="335"/>
      <c r="L71" s="335"/>
      <c r="M71" s="335"/>
      <c r="N71" s="335"/>
      <c r="O71" s="342"/>
      <c r="AZ71" s="107" t="str">
        <f t="shared" si="0"/>
        <v xml:space="preserve"> </v>
      </c>
    </row>
    <row r="72" spans="1:52">
      <c r="A72" s="1"/>
      <c r="B72" s="341" t="str">
        <f>IF('Data input'!C90=""," ",'Data input'!C90)</f>
        <v xml:space="preserve"> </v>
      </c>
      <c r="C72" s="335"/>
      <c r="D72" s="335"/>
      <c r="E72" s="335"/>
      <c r="F72" s="335"/>
      <c r="G72" s="335"/>
      <c r="H72" s="335"/>
      <c r="I72" s="335"/>
      <c r="J72" s="335"/>
      <c r="K72" s="335"/>
      <c r="L72" s="335"/>
      <c r="M72" s="335"/>
      <c r="N72" s="335"/>
      <c r="O72" s="342"/>
      <c r="AZ72" s="107" t="str">
        <f t="shared" si="0"/>
        <v xml:space="preserve"> </v>
      </c>
    </row>
    <row r="73" spans="1:52" ht="16.5" thickBot="1">
      <c r="A73" s="1"/>
      <c r="B73" s="343" t="str">
        <f>IF('Data input'!C91="Add other sources here"," ",'Data input'!C91)</f>
        <v xml:space="preserve"> </v>
      </c>
      <c r="C73" s="344"/>
      <c r="D73" s="344"/>
      <c r="E73" s="344"/>
      <c r="F73" s="344"/>
      <c r="G73" s="344"/>
      <c r="H73" s="344"/>
      <c r="I73" s="344"/>
      <c r="J73" s="344"/>
      <c r="K73" s="344"/>
      <c r="L73" s="344"/>
      <c r="M73" s="344"/>
      <c r="N73" s="344"/>
      <c r="O73" s="345"/>
      <c r="AZ73" s="107" t="str">
        <f t="shared" si="0"/>
        <v xml:space="preserve"> </v>
      </c>
    </row>
  </sheetData>
  <sheetProtection algorithmName="SHA-512" hashValue="8HZm26UrYLEvgH1q5tUEg6eF44hYR20e2tfUNHifWp0slN2J8u/Fuve3gDOtW1V2sW9n/8FGF0HI7H67eD0tdA==" saltValue="o77nUEfBPQjFnpmwhpwM5w==" spinCount="100000" sheet="1" objects="1" scenarios="1"/>
  <mergeCells count="153">
    <mergeCell ref="B63:O63"/>
    <mergeCell ref="B62:C62"/>
    <mergeCell ref="D62:O62"/>
    <mergeCell ref="D58:E59"/>
    <mergeCell ref="F58:F59"/>
    <mergeCell ref="G56:I56"/>
    <mergeCell ref="J56:L56"/>
    <mergeCell ref="D60:E61"/>
    <mergeCell ref="F60:F61"/>
    <mergeCell ref="B53:C61"/>
    <mergeCell ref="G53:I53"/>
    <mergeCell ref="F54:F55"/>
    <mergeCell ref="G54:I54"/>
    <mergeCell ref="J54:L54"/>
    <mergeCell ref="M54:O54"/>
    <mergeCell ref="D56:E57"/>
    <mergeCell ref="F56:F57"/>
    <mergeCell ref="D53:E53"/>
    <mergeCell ref="D54:E55"/>
    <mergeCell ref="B13:O13"/>
    <mergeCell ref="G60:I60"/>
    <mergeCell ref="J60:L60"/>
    <mergeCell ref="M60:O60"/>
    <mergeCell ref="B38:C39"/>
    <mergeCell ref="G49:I49"/>
    <mergeCell ref="J49:L49"/>
    <mergeCell ref="M49:O49"/>
    <mergeCell ref="B40:C40"/>
    <mergeCell ref="B41:O41"/>
    <mergeCell ref="D40:O40"/>
    <mergeCell ref="G38:I38"/>
    <mergeCell ref="J38:L38"/>
    <mergeCell ref="M38:O38"/>
    <mergeCell ref="B51:C51"/>
    <mergeCell ref="M58:O58"/>
    <mergeCell ref="B52:O52"/>
    <mergeCell ref="G14:O14"/>
    <mergeCell ref="D14:F14"/>
    <mergeCell ref="B14:C14"/>
    <mergeCell ref="B23:C23"/>
    <mergeCell ref="B22:C22"/>
    <mergeCell ref="M32:O32"/>
    <mergeCell ref="D22:O22"/>
    <mergeCell ref="D12:O12"/>
    <mergeCell ref="B3:O3"/>
    <mergeCell ref="B4:C4"/>
    <mergeCell ref="D4:O4"/>
    <mergeCell ref="D7:O7"/>
    <mergeCell ref="B9:C9"/>
    <mergeCell ref="D9:O9"/>
    <mergeCell ref="B8:C8"/>
    <mergeCell ref="D8:O8"/>
    <mergeCell ref="B6:C6"/>
    <mergeCell ref="B7:C7"/>
    <mergeCell ref="D6:O6"/>
    <mergeCell ref="B10:C10"/>
    <mergeCell ref="D10:O10"/>
    <mergeCell ref="D11:O11"/>
    <mergeCell ref="G20:I20"/>
    <mergeCell ref="J20:L20"/>
    <mergeCell ref="M20:O20"/>
    <mergeCell ref="D17:E19"/>
    <mergeCell ref="D15:F16"/>
    <mergeCell ref="B29:O29"/>
    <mergeCell ref="B26:C26"/>
    <mergeCell ref="G15:O15"/>
    <mergeCell ref="B15:C15"/>
    <mergeCell ref="D30:O30"/>
    <mergeCell ref="B31:C33"/>
    <mergeCell ref="D31:F31"/>
    <mergeCell ref="G16:I16"/>
    <mergeCell ref="J16:L16"/>
    <mergeCell ref="M16:O16"/>
    <mergeCell ref="F17:F19"/>
    <mergeCell ref="D25:O25"/>
    <mergeCell ref="D23:O23"/>
    <mergeCell ref="D26:O26"/>
    <mergeCell ref="D32:D33"/>
    <mergeCell ref="B28:C28"/>
    <mergeCell ref="D28:O28"/>
    <mergeCell ref="D27:O27"/>
    <mergeCell ref="B27:C27"/>
    <mergeCell ref="E24:O24"/>
    <mergeCell ref="B25:C25"/>
    <mergeCell ref="B30:C30"/>
    <mergeCell ref="G17:I17"/>
    <mergeCell ref="J17:L17"/>
    <mergeCell ref="M17:O17"/>
    <mergeCell ref="G18:I18"/>
    <mergeCell ref="J18:L18"/>
    <mergeCell ref="M18:O18"/>
    <mergeCell ref="M34:O34"/>
    <mergeCell ref="E32:F33"/>
    <mergeCell ref="E34:F35"/>
    <mergeCell ref="M31:O31"/>
    <mergeCell ref="J45:L45"/>
    <mergeCell ref="M42:O42"/>
    <mergeCell ref="J43:L43"/>
    <mergeCell ref="M45:O45"/>
    <mergeCell ref="J36:L36"/>
    <mergeCell ref="M36:O36"/>
    <mergeCell ref="J42:L42"/>
    <mergeCell ref="G34:I34"/>
    <mergeCell ref="E38:F39"/>
    <mergeCell ref="G36:I36"/>
    <mergeCell ref="E36:F37"/>
    <mergeCell ref="F45:F46"/>
    <mergeCell ref="G45:I45"/>
    <mergeCell ref="D42:E42"/>
    <mergeCell ref="G32:I32"/>
    <mergeCell ref="J32:L32"/>
    <mergeCell ref="G31:I31"/>
    <mergeCell ref="J31:L31"/>
    <mergeCell ref="B42:C50"/>
    <mergeCell ref="D45:E46"/>
    <mergeCell ref="D49:E50"/>
    <mergeCell ref="F49:F50"/>
    <mergeCell ref="G47:I47"/>
    <mergeCell ref="D38:D39"/>
    <mergeCell ref="B36:C37"/>
    <mergeCell ref="J47:L47"/>
    <mergeCell ref="J34:L34"/>
    <mergeCell ref="D47:E48"/>
    <mergeCell ref="D36:D37"/>
    <mergeCell ref="D34:D35"/>
    <mergeCell ref="F43:F44"/>
    <mergeCell ref="G43:I43"/>
    <mergeCell ref="G42:I42"/>
    <mergeCell ref="F47:F48"/>
    <mergeCell ref="M47:O47"/>
    <mergeCell ref="M43:O43"/>
    <mergeCell ref="B72:O72"/>
    <mergeCell ref="B73:O73"/>
    <mergeCell ref="D20:E21"/>
    <mergeCell ref="F20:F21"/>
    <mergeCell ref="B34:C35"/>
    <mergeCell ref="D44:E44"/>
    <mergeCell ref="D43:E43"/>
    <mergeCell ref="B24:C24"/>
    <mergeCell ref="B64:O64"/>
    <mergeCell ref="B65:O65"/>
    <mergeCell ref="B66:O66"/>
    <mergeCell ref="B67:O67"/>
    <mergeCell ref="B68:O68"/>
    <mergeCell ref="G58:I58"/>
    <mergeCell ref="J58:L58"/>
    <mergeCell ref="D51:O51"/>
    <mergeCell ref="B70:O70"/>
    <mergeCell ref="B71:O71"/>
    <mergeCell ref="M56:O56"/>
    <mergeCell ref="B69:O69"/>
    <mergeCell ref="J53:L53"/>
    <mergeCell ref="M53:O53"/>
  </mergeCells>
  <conditionalFormatting sqref="D6:D9">
    <cfRule type="containsText" dxfId="56" priority="100" operator="containsText" text="Please select">
      <formula>NOT(ISERROR(SEARCH("Please select",D6)))</formula>
    </cfRule>
  </conditionalFormatting>
  <conditionalFormatting sqref="D10:O10">
    <cfRule type="containsText" dxfId="55" priority="96" operator="containsText" text="Specify here">
      <formula>NOT(ISERROR(SEARCH("Specify here",D10)))</formula>
    </cfRule>
  </conditionalFormatting>
  <conditionalFormatting sqref="D4:O4">
    <cfRule type="containsText" dxfId="54" priority="95" operator="containsText" text="DD-MM-YYYY">
      <formula>NOT(ISERROR(SEARCH("DD-MM-YYYY",D4)))</formula>
    </cfRule>
  </conditionalFormatting>
  <conditionalFormatting sqref="D11:O11">
    <cfRule type="containsText" dxfId="53" priority="92" operator="containsText" text="Select the observed or expected TRL level in 2020">
      <formula>NOT(ISERROR(SEARCH("Select the observed or expected TRL level in 2020",D11)))</formula>
    </cfRule>
    <cfRule type="containsText" dxfId="52" priority="94" operator="containsText" text="Specify here the observed or expected TRL level in 2020">
      <formula>NOT(ISERROR(SEARCH("Specify here the observed or expected TRL level in 2020",D11)))</formula>
    </cfRule>
  </conditionalFormatting>
  <conditionalFormatting sqref="D12:O12">
    <cfRule type="containsText" dxfId="51" priority="93" operator="containsText" text="Explain here">
      <formula>NOT(ISERROR(SEARCH("Explain here",D12)))</formula>
    </cfRule>
  </conditionalFormatting>
  <conditionalFormatting sqref="D30">
    <cfRule type="containsText" dxfId="50" priority="90" operator="containsText" text="Specify here">
      <formula>NOT(ISERROR(SEARCH("Specify here",D30)))</formula>
    </cfRule>
  </conditionalFormatting>
  <conditionalFormatting sqref="D40:O40">
    <cfRule type="containsText" dxfId="49" priority="89" operator="containsText" text="Explain here (e.g. other costs)">
      <formula>NOT(ISERROR(SEARCH("Explain here (e.g. other costs)",D40)))</formula>
    </cfRule>
  </conditionalFormatting>
  <conditionalFormatting sqref="D51:O51">
    <cfRule type="containsText" dxfId="48" priority="88" operator="containsText" text="Explain here (e.g. flexible in and out)">
      <formula>NOT(ISERROR(SEARCH("Explain here (e.g. flexible in and out)",D51)))</formula>
    </cfRule>
  </conditionalFormatting>
  <conditionalFormatting sqref="D44">
    <cfRule type="containsText" dxfId="47" priority="87" operator="containsText" text="Select">
      <formula>NOT(ISERROR(SEARCH("Select",D44)))</formula>
    </cfRule>
  </conditionalFormatting>
  <conditionalFormatting sqref="D15:F16 D22:F23 D25:F27 D24:E24">
    <cfRule type="containsText" dxfId="46" priority="76" operator="containsText" text="Please select">
      <formula>NOT(ISERROR(SEARCH("Please select",D15)))</formula>
    </cfRule>
  </conditionalFormatting>
  <conditionalFormatting sqref="D17 F17">
    <cfRule type="containsText" dxfId="45" priority="67" operator="containsText" text="Please select 'Functional Unit' above">
      <formula>NOT(ISERROR(SEARCH("Please select 'Functional Unit' above",D17)))</formula>
    </cfRule>
  </conditionalFormatting>
  <conditionalFormatting sqref="E32">
    <cfRule type="containsText" dxfId="44" priority="65" operator="containsText" text="Please select 'Functional Unit' above">
      <formula>NOT(ISERROR(SEARCH("Please select 'Functional Unit' above",E32)))</formula>
    </cfRule>
  </conditionalFormatting>
  <conditionalFormatting sqref="E34">
    <cfRule type="containsText" dxfId="43" priority="64" operator="containsText" text="Please select 'Functional Unit' above">
      <formula>NOT(ISERROR(SEARCH("Please select 'Functional Unit' above",E34)))</formula>
    </cfRule>
  </conditionalFormatting>
  <conditionalFormatting sqref="E36">
    <cfRule type="containsText" dxfId="42" priority="63" operator="containsText" text="Please select 'Functional Unit' above">
      <formula>NOT(ISERROR(SEARCH("Please select 'Functional Unit' above",E36)))</formula>
    </cfRule>
  </conditionalFormatting>
  <conditionalFormatting sqref="D54">
    <cfRule type="containsText" dxfId="41" priority="47" operator="containsText" text="Select">
      <formula>NOT(ISERROR(SEARCH("Select",D54)))</formula>
    </cfRule>
  </conditionalFormatting>
  <conditionalFormatting sqref="F54:F61">
    <cfRule type="containsText" dxfId="40" priority="40" operator="containsText" text="Please select">
      <formula>NOT(ISERROR(SEARCH("Please select",F54)))</formula>
    </cfRule>
  </conditionalFormatting>
  <conditionalFormatting sqref="D28:O28">
    <cfRule type="containsText" dxfId="39" priority="21" operator="containsText" text="Explain here">
      <formula>NOT(ISERROR(SEARCH("Explain here",D28)))</formula>
    </cfRule>
  </conditionalFormatting>
  <conditionalFormatting sqref="D62:O62">
    <cfRule type="containsText" dxfId="38" priority="33" operator="containsText" text="Explain here">
      <formula>NOT(ISERROR(SEARCH("Explain here",D62)))</formula>
    </cfRule>
  </conditionalFormatting>
  <conditionalFormatting sqref="B64:B73">
    <cfRule type="containsText" dxfId="37" priority="32" operator="containsText" text="Specify data sources and references here">
      <formula>NOT(ISERROR(SEARCH("Specify data sources and references here",B64)))</formula>
    </cfRule>
  </conditionalFormatting>
  <conditionalFormatting sqref="E38">
    <cfRule type="containsText" dxfId="36" priority="31" operator="containsText" text="Please select 'Functional Unit' above">
      <formula>NOT(ISERROR(SEARCH("Please select 'Functional Unit' above",E38)))</formula>
    </cfRule>
  </conditionalFormatting>
  <conditionalFormatting sqref="F43:F50">
    <cfRule type="containsText" dxfId="35" priority="29" operator="containsText" text="Please select">
      <formula>NOT(ISERROR(SEARCH("Please select",F43)))</formula>
    </cfRule>
  </conditionalFormatting>
  <conditionalFormatting sqref="G43:O50 G54:O61 G32:O39">
    <cfRule type="containsText" dxfId="34" priority="25" operator="containsText" text="Max">
      <formula>NOT(ISERROR(SEARCH("Max",G32)))</formula>
    </cfRule>
    <cfRule type="containsText" dxfId="33" priority="26" operator="containsText" text="Min">
      <formula>NOT(ISERROR(SEARCH("Min",G32)))</formula>
    </cfRule>
    <cfRule type="containsText" dxfId="32" priority="27" operator="containsText" text="Specify ">
      <formula>NOT(ISERROR(SEARCH("Specify ",G32)))</formula>
    </cfRule>
  </conditionalFormatting>
  <conditionalFormatting sqref="D45">
    <cfRule type="containsText" dxfId="31" priority="20" operator="containsText" text="Select">
      <formula>NOT(ISERROR(SEARCH("Select",D45)))</formula>
    </cfRule>
  </conditionalFormatting>
  <conditionalFormatting sqref="D47">
    <cfRule type="containsText" dxfId="30" priority="19" operator="containsText" text="Select">
      <formula>NOT(ISERROR(SEARCH("Select",D47)))</formula>
    </cfRule>
  </conditionalFormatting>
  <conditionalFormatting sqref="D49">
    <cfRule type="containsText" dxfId="29" priority="18" operator="containsText" text="Select">
      <formula>NOT(ISERROR(SEARCH("Select",D49)))</formula>
    </cfRule>
  </conditionalFormatting>
  <conditionalFormatting sqref="D56">
    <cfRule type="containsText" dxfId="28" priority="16" operator="containsText" text="Select">
      <formula>NOT(ISERROR(SEARCH("Select",D56)))</formula>
    </cfRule>
  </conditionalFormatting>
  <conditionalFormatting sqref="D58">
    <cfRule type="containsText" dxfId="27" priority="15" operator="containsText" text="Select">
      <formula>NOT(ISERROR(SEARCH("Select",D58)))</formula>
    </cfRule>
  </conditionalFormatting>
  <conditionalFormatting sqref="D60">
    <cfRule type="containsText" dxfId="26" priority="14" operator="containsText" text="Select">
      <formula>NOT(ISERROR(SEARCH("Select",D60)))</formula>
    </cfRule>
  </conditionalFormatting>
  <conditionalFormatting sqref="D20 F20">
    <cfRule type="containsText" dxfId="25" priority="7" operator="containsText" text="Please select 'Functional Unit' above">
      <formula>NOT(ISERROR(SEARCH("Please select 'Functional Unit' above",D20)))</formula>
    </cfRule>
  </conditionalFormatting>
  <conditionalFormatting sqref="G18:O21">
    <cfRule type="containsText" dxfId="24" priority="4" operator="containsText" text="Max">
      <formula>NOT(ISERROR(SEARCH("Max",G18)))</formula>
    </cfRule>
    <cfRule type="containsText" dxfId="23" priority="5" operator="containsText" text="Min">
      <formula>NOT(ISERROR(SEARCH("Min",G18)))</formula>
    </cfRule>
    <cfRule type="containsText" dxfId="22" priority="6" operator="containsText" text="Specify ">
      <formula>NOT(ISERROR(SEARCH("Specify ",G18)))</formula>
    </cfRule>
  </conditionalFormatting>
  <conditionalFormatting sqref="G16:I16">
    <cfRule type="containsText" dxfId="21" priority="3" operator="containsText" text="min">
      <formula>NOT(ISERROR(SEARCH("min",G16)))</formula>
    </cfRule>
  </conditionalFormatting>
  <conditionalFormatting sqref="M16:O16">
    <cfRule type="containsText" dxfId="20" priority="2" operator="containsText" text="max">
      <formula>NOT(ISERROR(SEARCH("max",M16)))</formula>
    </cfRule>
  </conditionalFormatting>
  <conditionalFormatting sqref="D5:O5">
    <cfRule type="containsText" dxfId="19" priority="1" operator="containsText" text="DD-MM-YYYY">
      <formula>NOT(ISERROR(SEARCH("DD-MM-YYYY",D5)))</formula>
    </cfRule>
  </conditionalFormatting>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E1BD-0202-42D8-86D2-86D03AAF1A01}">
  <sheetPr>
    <pageSetUpPr fitToPage="1"/>
  </sheetPr>
  <dimension ref="A1:X85"/>
  <sheetViews>
    <sheetView zoomScaleNormal="100" workbookViewId="0">
      <pane ySplit="1" topLeftCell="A2" activePane="bottomLeft" state="frozen"/>
      <selection pane="bottomLeft" activeCell="Q39" sqref="Q39"/>
      <selection activeCell="Q39" sqref="Q39"/>
    </sheetView>
  </sheetViews>
  <sheetFormatPr defaultColWidth="9" defaultRowHeight="15.75"/>
  <cols>
    <col min="1" max="1" width="10.25" style="1" bestFit="1" customWidth="1"/>
    <col min="2" max="2" width="24" style="1" bestFit="1" customWidth="1"/>
    <col min="3" max="3" width="10.25" style="1" bestFit="1" customWidth="1"/>
    <col min="4" max="6" width="18.375" style="1" customWidth="1"/>
    <col min="7" max="7" width="10.25" style="1" bestFit="1" customWidth="1"/>
    <col min="8" max="8" width="13.875" style="1" bestFit="1" customWidth="1"/>
    <col min="9" max="9" width="10.25" style="1" bestFit="1" customWidth="1"/>
    <col min="10" max="10" width="25.75" style="1" customWidth="1"/>
    <col min="11" max="11" width="10.25" style="1" bestFit="1" customWidth="1"/>
    <col min="12" max="12" width="19.375" style="1" bestFit="1" customWidth="1"/>
    <col min="13" max="13" width="10.25" style="1" bestFit="1" customWidth="1"/>
    <col min="14" max="14" width="14" style="1" customWidth="1"/>
    <col min="15" max="15" width="10.25" style="1" bestFit="1" customWidth="1"/>
    <col min="16" max="16" width="13.125" style="1" bestFit="1" customWidth="1"/>
    <col min="17" max="17" width="10.25" style="1" bestFit="1" customWidth="1"/>
    <col min="18" max="18" width="14.5" style="1" bestFit="1" customWidth="1"/>
    <col min="19" max="23" width="9" style="1"/>
    <col min="24" max="24" width="9" style="1" hidden="1" customWidth="1"/>
    <col min="25" max="16384" width="9" style="1"/>
  </cols>
  <sheetData>
    <row r="1" spans="1:24">
      <c r="A1" s="15"/>
      <c r="B1" s="15" t="s">
        <v>255</v>
      </c>
      <c r="D1" s="15" t="s">
        <v>256</v>
      </c>
      <c r="E1" s="15"/>
      <c r="F1" s="15" t="s">
        <v>257</v>
      </c>
      <c r="G1" s="15"/>
      <c r="H1" s="15" t="s">
        <v>258</v>
      </c>
      <c r="J1" s="15" t="s">
        <v>259</v>
      </c>
      <c r="K1" s="15"/>
      <c r="L1" s="15" t="s">
        <v>260</v>
      </c>
      <c r="M1" s="15"/>
      <c r="N1" s="15" t="s">
        <v>261</v>
      </c>
      <c r="O1" s="15"/>
      <c r="P1" s="15" t="s">
        <v>262</v>
      </c>
      <c r="Q1" s="15"/>
      <c r="R1" s="15" t="s">
        <v>263</v>
      </c>
    </row>
    <row r="2" spans="1:24" hidden="1">
      <c r="A2" s="15"/>
      <c r="B2" s="15"/>
      <c r="D2" s="15"/>
      <c r="E2" s="15"/>
      <c r="F2" s="15"/>
      <c r="G2" s="15"/>
      <c r="H2" s="15"/>
      <c r="J2" s="16" t="s">
        <v>264</v>
      </c>
      <c r="K2" s="15"/>
      <c r="L2" s="15"/>
      <c r="M2" s="15"/>
      <c r="N2" s="15"/>
      <c r="O2" s="15"/>
      <c r="P2" s="15"/>
      <c r="Q2" s="15"/>
      <c r="R2" s="15"/>
      <c r="X2" s="16" t="s">
        <v>188</v>
      </c>
    </row>
    <row r="3" spans="1:24" hidden="1">
      <c r="A3" s="16"/>
      <c r="B3" s="16" t="s">
        <v>188</v>
      </c>
      <c r="D3" s="16" t="s">
        <v>188</v>
      </c>
      <c r="E3" s="16"/>
      <c r="F3" s="16" t="s">
        <v>188</v>
      </c>
      <c r="G3" s="16"/>
      <c r="H3" s="16" t="s">
        <v>188</v>
      </c>
      <c r="I3" s="16"/>
      <c r="J3" s="16" t="s">
        <v>188</v>
      </c>
      <c r="K3" s="16"/>
      <c r="L3" s="16" t="s">
        <v>188</v>
      </c>
      <c r="M3" s="5"/>
      <c r="N3" s="16" t="s">
        <v>188</v>
      </c>
      <c r="O3" s="16"/>
      <c r="P3" s="16" t="s">
        <v>188</v>
      </c>
      <c r="Q3" s="16"/>
      <c r="R3" s="16" t="s">
        <v>188</v>
      </c>
      <c r="X3" s="1" t="s">
        <v>265</v>
      </c>
    </row>
    <row r="4" spans="1:24">
      <c r="B4" s="1" t="s">
        <v>266</v>
      </c>
      <c r="D4" s="1" t="s">
        <v>169</v>
      </c>
      <c r="F4" s="1" t="s">
        <v>126</v>
      </c>
      <c r="H4" s="1" t="s">
        <v>267</v>
      </c>
      <c r="J4" s="1" t="s">
        <v>268</v>
      </c>
      <c r="L4" s="38" t="s">
        <v>140</v>
      </c>
      <c r="M4" s="5"/>
      <c r="N4" s="35"/>
      <c r="P4" s="1" t="s">
        <v>269</v>
      </c>
      <c r="R4" s="1" t="s">
        <v>128</v>
      </c>
      <c r="X4" s="1" t="s">
        <v>168</v>
      </c>
    </row>
    <row r="5" spans="1:24">
      <c r="B5" s="1" t="s">
        <v>270</v>
      </c>
      <c r="D5" s="1" t="s">
        <v>271</v>
      </c>
      <c r="F5" s="1" t="s">
        <v>172</v>
      </c>
      <c r="H5" s="1" t="s">
        <v>272</v>
      </c>
      <c r="J5" s="1" t="s">
        <v>273</v>
      </c>
      <c r="K5" s="5" t="s">
        <v>274</v>
      </c>
      <c r="L5" s="35"/>
      <c r="M5" s="5" t="s">
        <v>274</v>
      </c>
      <c r="P5" s="1" t="s">
        <v>275</v>
      </c>
      <c r="R5" s="1" t="s">
        <v>130</v>
      </c>
    </row>
    <row r="6" spans="1:24">
      <c r="B6" s="1" t="s">
        <v>276</v>
      </c>
      <c r="D6" s="1" t="s">
        <v>277</v>
      </c>
      <c r="F6" s="1" t="s">
        <v>128</v>
      </c>
      <c r="H6" s="1" t="s">
        <v>278</v>
      </c>
      <c r="J6" s="1" t="s">
        <v>279</v>
      </c>
      <c r="K6" s="5" t="s">
        <v>274</v>
      </c>
      <c r="L6" s="35"/>
      <c r="M6" s="5" t="s">
        <v>274</v>
      </c>
      <c r="P6" s="1" t="s">
        <v>280</v>
      </c>
      <c r="R6" s="1" t="s">
        <v>281</v>
      </c>
      <c r="X6" s="1" t="s">
        <v>188</v>
      </c>
    </row>
    <row r="7" spans="1:24">
      <c r="B7" s="1" t="s">
        <v>282</v>
      </c>
      <c r="D7" s="1" t="s">
        <v>283</v>
      </c>
      <c r="F7" s="1" t="s">
        <v>130</v>
      </c>
      <c r="H7" s="1" t="s">
        <v>284</v>
      </c>
      <c r="J7" s="1" t="s">
        <v>285</v>
      </c>
      <c r="K7" s="5" t="s">
        <v>274</v>
      </c>
      <c r="L7" s="35"/>
      <c r="M7" s="5" t="s">
        <v>274</v>
      </c>
      <c r="P7" s="1" t="s">
        <v>286</v>
      </c>
      <c r="Q7" s="5" t="s">
        <v>274</v>
      </c>
      <c r="X7" s="1" t="s">
        <v>287</v>
      </c>
    </row>
    <row r="8" spans="1:24">
      <c r="B8" s="1" t="s">
        <v>288</v>
      </c>
      <c r="D8" s="1" t="s">
        <v>289</v>
      </c>
      <c r="F8" s="1" t="s">
        <v>132</v>
      </c>
      <c r="H8" s="1" t="s">
        <v>290</v>
      </c>
      <c r="J8" s="1" t="s">
        <v>291</v>
      </c>
      <c r="K8" s="5" t="s">
        <v>274</v>
      </c>
      <c r="M8" s="5" t="s">
        <v>274</v>
      </c>
      <c r="P8" s="1" t="s">
        <v>292</v>
      </c>
      <c r="Q8" s="5" t="s">
        <v>274</v>
      </c>
      <c r="X8" s="1" t="s">
        <v>293</v>
      </c>
    </row>
    <row r="9" spans="1:24">
      <c r="B9" s="1" t="s">
        <v>294</v>
      </c>
      <c r="C9" s="5"/>
      <c r="D9" s="1" t="s">
        <v>295</v>
      </c>
      <c r="F9" s="1" t="s">
        <v>134</v>
      </c>
      <c r="H9" s="1" t="s">
        <v>296</v>
      </c>
      <c r="J9" s="1" t="s">
        <v>297</v>
      </c>
      <c r="K9" s="5" t="s">
        <v>274</v>
      </c>
      <c r="M9" s="5" t="s">
        <v>274</v>
      </c>
      <c r="P9" s="1" t="s">
        <v>298</v>
      </c>
      <c r="Q9" s="5" t="s">
        <v>274</v>
      </c>
    </row>
    <row r="10" spans="1:24">
      <c r="B10" s="1" t="s">
        <v>299</v>
      </c>
      <c r="C10" s="5"/>
      <c r="D10" s="1" t="s">
        <v>300</v>
      </c>
      <c r="F10" s="1" t="s">
        <v>136</v>
      </c>
      <c r="H10" s="1" t="s">
        <v>301</v>
      </c>
      <c r="J10" s="1" t="s">
        <v>302</v>
      </c>
      <c r="M10" s="5" t="s">
        <v>274</v>
      </c>
      <c r="P10" s="1" t="s">
        <v>303</v>
      </c>
      <c r="Q10" s="5" t="s">
        <v>274</v>
      </c>
      <c r="X10" s="16" t="s">
        <v>304</v>
      </c>
    </row>
    <row r="11" spans="1:24">
      <c r="B11" s="1" t="s">
        <v>305</v>
      </c>
      <c r="C11" s="5"/>
      <c r="D11" s="1" t="s">
        <v>306</v>
      </c>
      <c r="F11" s="1" t="s">
        <v>138</v>
      </c>
      <c r="G11" s="5" t="s">
        <v>274</v>
      </c>
      <c r="J11" s="1" t="s">
        <v>307</v>
      </c>
      <c r="M11" s="5" t="s">
        <v>274</v>
      </c>
      <c r="P11" s="1" t="s">
        <v>308</v>
      </c>
      <c r="Q11" s="5" t="s">
        <v>274</v>
      </c>
      <c r="X11" s="1" t="s">
        <v>183</v>
      </c>
    </row>
    <row r="12" spans="1:24">
      <c r="B12" s="1" t="s">
        <v>309</v>
      </c>
      <c r="C12" s="5"/>
      <c r="D12" s="1" t="s">
        <v>310</v>
      </c>
      <c r="F12" s="1" t="s">
        <v>140</v>
      </c>
      <c r="G12" s="5" t="s">
        <v>274</v>
      </c>
      <c r="J12" s="1" t="s">
        <v>311</v>
      </c>
      <c r="M12" s="5" t="s">
        <v>274</v>
      </c>
      <c r="P12" s="1" t="s">
        <v>312</v>
      </c>
      <c r="X12" s="1" t="s">
        <v>313</v>
      </c>
    </row>
    <row r="13" spans="1:24">
      <c r="B13" s="1" t="s">
        <v>314</v>
      </c>
      <c r="C13" s="5" t="s">
        <v>274</v>
      </c>
      <c r="E13" s="5" t="s">
        <v>274</v>
      </c>
      <c r="F13" s="1" t="s">
        <v>229</v>
      </c>
      <c r="G13" s="5" t="s">
        <v>274</v>
      </c>
      <c r="J13" s="1" t="s">
        <v>315</v>
      </c>
      <c r="M13" s="5" t="s">
        <v>274</v>
      </c>
      <c r="P13" s="1" t="s">
        <v>316</v>
      </c>
      <c r="X13" s="1" t="s">
        <v>317</v>
      </c>
    </row>
    <row r="14" spans="1:24">
      <c r="B14" s="1" t="s">
        <v>318</v>
      </c>
      <c r="C14" s="5" t="s">
        <v>274</v>
      </c>
      <c r="E14" s="5" t="s">
        <v>274</v>
      </c>
      <c r="G14" s="5" t="s">
        <v>274</v>
      </c>
      <c r="J14" s="38" t="s">
        <v>319</v>
      </c>
      <c r="O14" s="5" t="s">
        <v>274</v>
      </c>
    </row>
    <row r="15" spans="1:24">
      <c r="B15" s="1" t="s">
        <v>320</v>
      </c>
      <c r="C15" s="5" t="s">
        <v>274</v>
      </c>
      <c r="E15" s="5" t="s">
        <v>274</v>
      </c>
      <c r="G15" s="5" t="s">
        <v>274</v>
      </c>
      <c r="J15" s="38" t="s">
        <v>321</v>
      </c>
      <c r="O15" s="5" t="s">
        <v>274</v>
      </c>
    </row>
    <row r="16" spans="1:24">
      <c r="B16" s="1" t="s">
        <v>322</v>
      </c>
      <c r="C16" s="5" t="s">
        <v>274</v>
      </c>
      <c r="E16" s="5" t="s">
        <v>274</v>
      </c>
      <c r="J16" s="38" t="s">
        <v>323</v>
      </c>
      <c r="O16" s="5" t="s">
        <v>274</v>
      </c>
    </row>
    <row r="17" spans="1:15">
      <c r="B17" s="1" t="s">
        <v>324</v>
      </c>
      <c r="C17" s="5" t="s">
        <v>274</v>
      </c>
      <c r="E17" s="5" t="s">
        <v>274</v>
      </c>
      <c r="J17" s="38" t="s">
        <v>325</v>
      </c>
      <c r="O17" s="5" t="s">
        <v>274</v>
      </c>
    </row>
    <row r="18" spans="1:15">
      <c r="B18" s="1" t="s">
        <v>326</v>
      </c>
      <c r="J18" s="1" t="s">
        <v>327</v>
      </c>
      <c r="O18" s="5" t="s">
        <v>274</v>
      </c>
    </row>
    <row r="19" spans="1:15">
      <c r="J19" s="1" t="s">
        <v>328</v>
      </c>
      <c r="O19" s="5"/>
    </row>
    <row r="20" spans="1:15">
      <c r="B20" s="1" t="s">
        <v>329</v>
      </c>
      <c r="J20" s="1" t="s">
        <v>330</v>
      </c>
    </row>
    <row r="21" spans="1:15">
      <c r="B21" s="1" t="s">
        <v>331</v>
      </c>
      <c r="J21" s="1" t="s">
        <v>332</v>
      </c>
    </row>
    <row r="22" spans="1:15">
      <c r="B22" s="1" t="s">
        <v>333</v>
      </c>
      <c r="J22" s="1" t="s">
        <v>205</v>
      </c>
    </row>
    <row r="23" spans="1:15">
      <c r="A23" s="5" t="s">
        <v>274</v>
      </c>
      <c r="B23" s="38" t="s">
        <v>271</v>
      </c>
      <c r="J23" s="1" t="s">
        <v>334</v>
      </c>
    </row>
    <row r="24" spans="1:15">
      <c r="A24" s="5" t="s">
        <v>274</v>
      </c>
      <c r="B24" s="1" t="s">
        <v>166</v>
      </c>
      <c r="J24" s="1" t="s">
        <v>335</v>
      </c>
    </row>
    <row r="25" spans="1:15">
      <c r="A25" s="5" t="s">
        <v>274</v>
      </c>
      <c r="J25" s="1" t="s">
        <v>336</v>
      </c>
    </row>
    <row r="26" spans="1:15">
      <c r="A26" s="5" t="s">
        <v>274</v>
      </c>
      <c r="J26" s="1" t="s">
        <v>337</v>
      </c>
    </row>
    <row r="27" spans="1:15">
      <c r="A27" s="5" t="s">
        <v>274</v>
      </c>
      <c r="J27" s="1" t="s">
        <v>338</v>
      </c>
    </row>
    <row r="28" spans="1:15">
      <c r="J28" s="1" t="s">
        <v>339</v>
      </c>
    </row>
    <row r="29" spans="1:15">
      <c r="J29" s="1" t="s">
        <v>340</v>
      </c>
    </row>
    <row r="30" spans="1:15">
      <c r="J30" s="1" t="s">
        <v>341</v>
      </c>
    </row>
    <row r="31" spans="1:15">
      <c r="J31" s="1" t="s">
        <v>342</v>
      </c>
    </row>
    <row r="32" spans="1:15">
      <c r="J32" s="1" t="s">
        <v>343</v>
      </c>
    </row>
    <row r="33" spans="10:11">
      <c r="J33" s="1" t="s">
        <v>344</v>
      </c>
    </row>
    <row r="34" spans="10:11">
      <c r="J34" s="1" t="s">
        <v>345</v>
      </c>
    </row>
    <row r="35" spans="10:11">
      <c r="J35" s="1" t="s">
        <v>346</v>
      </c>
    </row>
    <row r="36" spans="10:11">
      <c r="J36" s="1" t="s">
        <v>347</v>
      </c>
    </row>
    <row r="37" spans="10:11">
      <c r="J37" s="1" t="s">
        <v>204</v>
      </c>
    </row>
    <row r="38" spans="10:11">
      <c r="J38" s="1" t="s">
        <v>348</v>
      </c>
    </row>
    <row r="39" spans="10:11">
      <c r="J39" s="1" t="s">
        <v>294</v>
      </c>
    </row>
    <row r="40" spans="10:11">
      <c r="J40" s="1" t="s">
        <v>349</v>
      </c>
    </row>
    <row r="41" spans="10:11">
      <c r="J41" s="1" t="s">
        <v>350</v>
      </c>
    </row>
    <row r="42" spans="10:11">
      <c r="J42" s="1" t="s">
        <v>351</v>
      </c>
    </row>
    <row r="43" spans="10:11">
      <c r="J43" s="1" t="s">
        <v>352</v>
      </c>
    </row>
    <row r="44" spans="10:11">
      <c r="J44" s="1" t="s">
        <v>353</v>
      </c>
    </row>
    <row r="45" spans="10:11">
      <c r="J45" s="1" t="s">
        <v>354</v>
      </c>
    </row>
    <row r="46" spans="10:11">
      <c r="J46" s="1" t="s">
        <v>355</v>
      </c>
      <c r="K46" s="35"/>
    </row>
    <row r="47" spans="10:11">
      <c r="J47" s="1" t="s">
        <v>356</v>
      </c>
      <c r="K47" s="35"/>
    </row>
    <row r="48" spans="10:11">
      <c r="J48" s="38" t="s">
        <v>357</v>
      </c>
      <c r="K48" s="35"/>
    </row>
    <row r="49" spans="9:11">
      <c r="J49" s="38" t="s">
        <v>358</v>
      </c>
      <c r="K49" s="35"/>
    </row>
    <row r="50" spans="9:11">
      <c r="J50" s="38" t="s">
        <v>359</v>
      </c>
    </row>
    <row r="51" spans="9:11">
      <c r="J51" s="38" t="s">
        <v>360</v>
      </c>
    </row>
    <row r="52" spans="9:11">
      <c r="J52" s="1" t="s">
        <v>361</v>
      </c>
    </row>
    <row r="53" spans="9:11">
      <c r="J53" s="1" t="s">
        <v>362</v>
      </c>
    </row>
    <row r="54" spans="9:11">
      <c r="J54" s="1" t="s">
        <v>363</v>
      </c>
    </row>
    <row r="55" spans="9:11">
      <c r="J55" s="1" t="s">
        <v>364</v>
      </c>
    </row>
    <row r="56" spans="9:11">
      <c r="I56" s="5" t="s">
        <v>274</v>
      </c>
      <c r="J56" s="35" t="s">
        <v>365</v>
      </c>
    </row>
    <row r="57" spans="9:11">
      <c r="I57" s="5" t="s">
        <v>274</v>
      </c>
      <c r="J57" s="35" t="s">
        <v>366</v>
      </c>
    </row>
    <row r="58" spans="9:11">
      <c r="I58" s="5" t="s">
        <v>274</v>
      </c>
      <c r="J58" s="35" t="s">
        <v>367</v>
      </c>
    </row>
    <row r="59" spans="9:11">
      <c r="I59" s="5" t="s">
        <v>274</v>
      </c>
      <c r="J59" s="35" t="s">
        <v>368</v>
      </c>
    </row>
    <row r="60" spans="9:11">
      <c r="I60" s="5" t="s">
        <v>274</v>
      </c>
      <c r="J60" s="35" t="s">
        <v>369</v>
      </c>
    </row>
    <row r="61" spans="9:11">
      <c r="I61" s="5" t="s">
        <v>274</v>
      </c>
      <c r="J61" s="35" t="s">
        <v>370</v>
      </c>
    </row>
    <row r="62" spans="9:11">
      <c r="I62" s="5" t="s">
        <v>274</v>
      </c>
      <c r="J62" s="35" t="s">
        <v>371</v>
      </c>
    </row>
    <row r="63" spans="9:11">
      <c r="I63" s="5" t="s">
        <v>274</v>
      </c>
      <c r="J63" s="35" t="s">
        <v>372</v>
      </c>
    </row>
    <row r="64" spans="9:11">
      <c r="I64" s="5" t="s">
        <v>274</v>
      </c>
      <c r="J64" s="35" t="s">
        <v>373</v>
      </c>
    </row>
    <row r="65" spans="9:10">
      <c r="I65" s="5" t="s">
        <v>274</v>
      </c>
      <c r="J65" s="35" t="s">
        <v>374</v>
      </c>
    </row>
    <row r="66" spans="9:10">
      <c r="I66" s="5" t="s">
        <v>274</v>
      </c>
      <c r="J66" s="35" t="s">
        <v>375</v>
      </c>
    </row>
    <row r="67" spans="9:10">
      <c r="I67" s="5" t="s">
        <v>274</v>
      </c>
      <c r="J67" s="35" t="s">
        <v>376</v>
      </c>
    </row>
    <row r="68" spans="9:10">
      <c r="I68" s="5" t="s">
        <v>274</v>
      </c>
      <c r="J68" s="35" t="s">
        <v>377</v>
      </c>
    </row>
    <row r="69" spans="9:10">
      <c r="I69" s="5" t="s">
        <v>274</v>
      </c>
      <c r="J69" s="35" t="s">
        <v>378</v>
      </c>
    </row>
    <row r="70" spans="9:10">
      <c r="J70" s="35"/>
    </row>
    <row r="71" spans="9:10">
      <c r="J71" s="35"/>
    </row>
    <row r="72" spans="9:10">
      <c r="J72" s="35"/>
    </row>
    <row r="73" spans="9:10">
      <c r="J73" s="35"/>
    </row>
    <row r="74" spans="9:10">
      <c r="J74" s="35"/>
    </row>
    <row r="75" spans="9:10">
      <c r="J75" s="35"/>
    </row>
    <row r="85" spans="10:10">
      <c r="J85" s="35"/>
    </row>
  </sheetData>
  <sortState xmlns:xlrd2="http://schemas.microsoft.com/office/spreadsheetml/2017/richdata2" ref="J56:J69">
    <sortCondition ref="J56"/>
  </sortState>
  <conditionalFormatting sqref="J95:J1048576 J1:J3 J70:J93">
    <cfRule type="duplicateValues" dxfId="18" priority="19"/>
  </conditionalFormatting>
  <conditionalFormatting sqref="J10">
    <cfRule type="duplicateValues" dxfId="17" priority="17"/>
  </conditionalFormatting>
  <conditionalFormatting sqref="J4:J55 J70:J75">
    <cfRule type="duplicateValues" dxfId="16" priority="166"/>
  </conditionalFormatting>
  <conditionalFormatting sqref="J56">
    <cfRule type="duplicateValues" dxfId="15" priority="15"/>
  </conditionalFormatting>
  <conditionalFormatting sqref="J56">
    <cfRule type="duplicateValues" dxfId="14" priority="16"/>
  </conditionalFormatting>
  <conditionalFormatting sqref="J57">
    <cfRule type="duplicateValues" dxfId="13" priority="13"/>
  </conditionalFormatting>
  <conditionalFormatting sqref="J57">
    <cfRule type="duplicateValues" dxfId="12" priority="14"/>
  </conditionalFormatting>
  <conditionalFormatting sqref="J58">
    <cfRule type="duplicateValues" dxfId="11" priority="11"/>
  </conditionalFormatting>
  <conditionalFormatting sqref="J58">
    <cfRule type="duplicateValues" dxfId="10" priority="12"/>
  </conditionalFormatting>
  <conditionalFormatting sqref="J63:J64">
    <cfRule type="duplicateValues" dxfId="9" priority="9"/>
  </conditionalFormatting>
  <conditionalFormatting sqref="J63:J64">
    <cfRule type="duplicateValues" dxfId="8" priority="10"/>
  </conditionalFormatting>
  <conditionalFormatting sqref="J65">
    <cfRule type="duplicateValues" dxfId="7" priority="7"/>
  </conditionalFormatting>
  <conditionalFormatting sqref="J65">
    <cfRule type="duplicateValues" dxfId="6" priority="8"/>
  </conditionalFormatting>
  <conditionalFormatting sqref="J66:J67">
    <cfRule type="duplicateValues" dxfId="5" priority="5"/>
  </conditionalFormatting>
  <conditionalFormatting sqref="J66:J67">
    <cfRule type="duplicateValues" dxfId="4" priority="6"/>
  </conditionalFormatting>
  <conditionalFormatting sqref="J68">
    <cfRule type="duplicateValues" dxfId="3" priority="3"/>
  </conditionalFormatting>
  <conditionalFormatting sqref="J68">
    <cfRule type="duplicateValues" dxfId="2" priority="4"/>
  </conditionalFormatting>
  <conditionalFormatting sqref="J69">
    <cfRule type="duplicateValues" dxfId="1" priority="1"/>
  </conditionalFormatting>
  <conditionalFormatting sqref="J69">
    <cfRule type="duplicateValues" dxfId="0" priority="2"/>
  </conditionalFormatting>
  <pageMargins left="0.7" right="0.7" top="0.75" bottom="0.75" header="0.3" footer="0.3"/>
  <pageSetup paperSize="9" scale="3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C4D3-2A5D-4792-A65F-CAE4F1FA59A5}">
  <dimension ref="A1:J69"/>
  <sheetViews>
    <sheetView workbookViewId="0">
      <selection activeCell="Q39" sqref="Q39"/>
    </sheetView>
  </sheetViews>
  <sheetFormatPr defaultRowHeight="15.75"/>
  <cols>
    <col min="1" max="1" width="12.25" customWidth="1"/>
    <col min="2" max="2" width="11.375" customWidth="1"/>
    <col min="3" max="3" width="21.125" customWidth="1"/>
    <col min="4" max="4" width="12.375" bestFit="1" customWidth="1"/>
  </cols>
  <sheetData>
    <row r="1" spans="1:7">
      <c r="A1" t="s">
        <v>379</v>
      </c>
    </row>
    <row r="2" spans="1:7">
      <c r="A2" t="s">
        <v>380</v>
      </c>
      <c r="B2" t="s">
        <v>381</v>
      </c>
      <c r="C2" t="s">
        <v>382</v>
      </c>
      <c r="D2" t="s">
        <v>383</v>
      </c>
      <c r="E2" t="s">
        <v>384</v>
      </c>
      <c r="F2" t="s">
        <v>385</v>
      </c>
      <c r="G2" t="s">
        <v>386</v>
      </c>
    </row>
    <row r="3" spans="1:7" ht="13.5" customHeight="1" thickBot="1">
      <c r="A3" s="119">
        <v>101.12</v>
      </c>
      <c r="B3" s="120">
        <v>101.84</v>
      </c>
      <c r="C3" s="120">
        <v>102.06</v>
      </c>
      <c r="D3" s="120">
        <v>102.99</v>
      </c>
      <c r="E3" s="120">
        <v>103.41</v>
      </c>
      <c r="F3" s="120">
        <v>102.85</v>
      </c>
      <c r="G3" s="121">
        <v>103.96</v>
      </c>
    </row>
    <row r="4" spans="1:7" ht="6.75" customHeight="1"/>
    <row r="6" spans="1:7">
      <c r="A6" s="137"/>
    </row>
    <row r="7" spans="1:7">
      <c r="A7" s="138"/>
    </row>
    <row r="8" spans="1:7" ht="28.5" customHeight="1">
      <c r="A8" s="138" t="s">
        <v>387</v>
      </c>
    </row>
    <row r="9" spans="1:7" ht="22.5" customHeight="1">
      <c r="A9" s="138" t="s">
        <v>388</v>
      </c>
      <c r="B9" t="s">
        <v>389</v>
      </c>
      <c r="C9" t="s">
        <v>389</v>
      </c>
      <c r="D9" t="s">
        <v>389</v>
      </c>
      <c r="E9" t="s">
        <v>390</v>
      </c>
    </row>
    <row r="10" spans="1:7">
      <c r="A10" t="s">
        <v>391</v>
      </c>
      <c r="B10" t="s">
        <v>392</v>
      </c>
      <c r="C10" t="s">
        <v>393</v>
      </c>
      <c r="D10" t="s">
        <v>394</v>
      </c>
    </row>
    <row r="11" spans="1:7">
      <c r="A11" s="138">
        <v>6.1</v>
      </c>
      <c r="B11">
        <v>18.7</v>
      </c>
      <c r="C11">
        <f>B11/A11</f>
        <v>3.0655737704918034</v>
      </c>
      <c r="D11">
        <f>C11*0.65</f>
        <v>1.9926229508196722</v>
      </c>
    </row>
    <row r="12" spans="1:7">
      <c r="A12">
        <v>12.2</v>
      </c>
      <c r="B12">
        <v>29.7</v>
      </c>
      <c r="C12">
        <f t="shared" ref="C12:C13" si="0">B12/A12</f>
        <v>2.4344262295081966</v>
      </c>
      <c r="D12">
        <f t="shared" ref="D12:D13" si="1">C12*0.65</f>
        <v>1.582377049180328</v>
      </c>
    </row>
    <row r="13" spans="1:7">
      <c r="A13">
        <v>49.1</v>
      </c>
      <c r="B13">
        <v>74.8</v>
      </c>
      <c r="C13">
        <f t="shared" si="0"/>
        <v>1.5234215885947047</v>
      </c>
      <c r="D13">
        <f t="shared" si="1"/>
        <v>0.99022403258655811</v>
      </c>
    </row>
    <row r="20" spans="1:10">
      <c r="J20">
        <f>10.8*0.8</f>
        <v>8.64</v>
      </c>
    </row>
    <row r="21" spans="1:10">
      <c r="J21">
        <f>J19+J20</f>
        <v>8.64</v>
      </c>
    </row>
    <row r="22" spans="1:10">
      <c r="A22" t="s">
        <v>395</v>
      </c>
      <c r="B22" t="s">
        <v>396</v>
      </c>
      <c r="C22" t="s">
        <v>172</v>
      </c>
    </row>
    <row r="23" spans="1:10">
      <c r="A23">
        <v>1</v>
      </c>
      <c r="B23" s="139">
        <v>277777.77799999999</v>
      </c>
      <c r="C23" s="139">
        <f>B23/8000</f>
        <v>34.722222250000002</v>
      </c>
    </row>
    <row r="24" spans="1:10">
      <c r="A24">
        <f>('Solid and liq biomass potential'!E8+'Solid and liq biomass potential'!E13+'Solid and liq biomass potential'!E14+'Solid and liq biomass potential'!E15)*0.6</f>
        <v>35.76</v>
      </c>
      <c r="B24">
        <f>A24*$B$23</f>
        <v>9933333.3412799984</v>
      </c>
      <c r="C24" s="139">
        <f>B24/8000</f>
        <v>1241.6666676599998</v>
      </c>
      <c r="D24" t="s">
        <v>397</v>
      </c>
      <c r="E24" t="s">
        <v>398</v>
      </c>
    </row>
    <row r="25" spans="1:10">
      <c r="A25">
        <f>('Solid and liq biomass potential'!F8+'Solid and liq biomass potential'!F13+'Solid and liq biomass potential'!F14+'Solid and liq biomass potential'!F15+'Solid and liq biomass potential'!F16)*0.6</f>
        <v>20.159999999999997</v>
      </c>
      <c r="B25">
        <f>A25*$B$23</f>
        <v>5600000.0044799987</v>
      </c>
      <c r="C25" s="139">
        <f>B25/8000</f>
        <v>700.00000055999988</v>
      </c>
      <c r="D25" t="s">
        <v>399</v>
      </c>
    </row>
    <row r="26" spans="1:10">
      <c r="A26">
        <f>('Solid and liq biomass potential'!H8+'Solid and liq biomass potential'!H13+'Solid and liq biomass potential'!H14+'Solid and liq biomass potential'!H15)*0.6</f>
        <v>45</v>
      </c>
      <c r="B26">
        <f t="shared" ref="B26:B30" si="2">A26*$B$23</f>
        <v>12500000.01</v>
      </c>
      <c r="C26" s="139">
        <f t="shared" ref="C26:C30" si="3">B26/8000</f>
        <v>1562.50000125</v>
      </c>
      <c r="D26" t="s">
        <v>400</v>
      </c>
    </row>
    <row r="27" spans="1:10">
      <c r="A27">
        <f>('Solid and liq biomass potential'!J8+'Solid and liq biomass potential'!J13+'Solid and liq biomass potential'!J14+'Solid and liq biomass potential'!J15+'Solid and liq biomass potential'!J16)*0.6</f>
        <v>21.06</v>
      </c>
      <c r="B27">
        <f t="shared" si="2"/>
        <v>5850000.0046799993</v>
      </c>
      <c r="C27" s="139">
        <f t="shared" si="3"/>
        <v>731.25000058499995</v>
      </c>
      <c r="D27" t="s">
        <v>401</v>
      </c>
    </row>
    <row r="28" spans="1:10">
      <c r="B28">
        <f t="shared" si="2"/>
        <v>0</v>
      </c>
      <c r="C28" s="139">
        <f t="shared" si="3"/>
        <v>0</v>
      </c>
      <c r="D28" t="s">
        <v>402</v>
      </c>
    </row>
    <row r="29" spans="1:10">
      <c r="B29">
        <f t="shared" si="2"/>
        <v>0</v>
      </c>
      <c r="C29" s="139">
        <f t="shared" si="3"/>
        <v>0</v>
      </c>
      <c r="D29" t="s">
        <v>403</v>
      </c>
    </row>
    <row r="30" spans="1:10">
      <c r="B30">
        <f t="shared" si="2"/>
        <v>0</v>
      </c>
      <c r="C30" s="139">
        <f t="shared" si="3"/>
        <v>0</v>
      </c>
      <c r="D30" t="s">
        <v>404</v>
      </c>
    </row>
    <row r="33" spans="1:5">
      <c r="A33" t="s">
        <v>405</v>
      </c>
      <c r="D33" t="s">
        <v>406</v>
      </c>
    </row>
    <row r="34" spans="1:5">
      <c r="A34" t="s">
        <v>407</v>
      </c>
      <c r="B34">
        <v>5500</v>
      </c>
      <c r="C34" t="s">
        <v>408</v>
      </c>
      <c r="D34">
        <v>1</v>
      </c>
      <c r="E34" t="s">
        <v>140</v>
      </c>
    </row>
    <row r="35" spans="1:5">
      <c r="A35" t="s">
        <v>409</v>
      </c>
      <c r="B35">
        <v>5445</v>
      </c>
      <c r="C35" t="s">
        <v>408</v>
      </c>
      <c r="D35">
        <v>0.99</v>
      </c>
      <c r="E35" t="s">
        <v>140</v>
      </c>
    </row>
    <row r="36" spans="1:5">
      <c r="A36" t="s">
        <v>410</v>
      </c>
      <c r="B36" s="140">
        <v>273103.44827586209</v>
      </c>
      <c r="C36" t="s">
        <v>411</v>
      </c>
      <c r="D36" s="140">
        <f>1/0.58*1000000</f>
        <v>1724137.9310344828</v>
      </c>
      <c r="E36" t="s">
        <v>411</v>
      </c>
    </row>
    <row r="37" spans="1:5">
      <c r="A37" s="140" t="s">
        <v>412</v>
      </c>
      <c r="B37">
        <f>B17*B36</f>
        <v>0</v>
      </c>
      <c r="C37" t="s">
        <v>411</v>
      </c>
      <c r="D37" s="140">
        <f>D36*B12</f>
        <v>51206896.551724136</v>
      </c>
      <c r="E37" t="s">
        <v>413</v>
      </c>
    </row>
    <row r="38" spans="1:5">
      <c r="D38">
        <f>D37/1000000</f>
        <v>51.206896551724135</v>
      </c>
    </row>
    <row r="69" spans="7:7">
      <c r="G69" t="e">
        <f>-[1]Calculations!E37ton20486*0.068/1000000</f>
        <v>#NAME?</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D1A54-699C-4F46-8813-ED9FE3D66B5C}">
  <dimension ref="A1:P53"/>
  <sheetViews>
    <sheetView topLeftCell="A27" workbookViewId="0">
      <selection activeCell="Q39" sqref="Q39"/>
    </sheetView>
  </sheetViews>
  <sheetFormatPr defaultRowHeight="15.75"/>
  <cols>
    <col min="2" max="2" width="11.875" customWidth="1"/>
    <col min="3" max="4" width="12.875" customWidth="1"/>
    <col min="6" max="7" width="14.375" customWidth="1"/>
    <col min="10" max="11" width="11" customWidth="1"/>
  </cols>
  <sheetData>
    <row r="1" spans="1:14">
      <c r="A1" t="s">
        <v>414</v>
      </c>
    </row>
    <row r="2" spans="1:14" ht="18" customHeight="1">
      <c r="A2" t="s">
        <v>415</v>
      </c>
    </row>
    <row r="3" spans="1:14">
      <c r="A3" t="s">
        <v>416</v>
      </c>
    </row>
    <row r="4" spans="1:14">
      <c r="C4" t="s">
        <v>417</v>
      </c>
      <c r="D4" t="s">
        <v>418</v>
      </c>
      <c r="E4" t="s">
        <v>419</v>
      </c>
      <c r="F4" t="s">
        <v>418</v>
      </c>
      <c r="H4" t="s">
        <v>419</v>
      </c>
      <c r="J4" t="s">
        <v>418</v>
      </c>
      <c r="L4" t="s">
        <v>420</v>
      </c>
      <c r="M4" s="142" t="s">
        <v>421</v>
      </c>
      <c r="N4" s="142"/>
    </row>
    <row r="5" spans="1:14">
      <c r="C5">
        <v>2014</v>
      </c>
      <c r="D5">
        <v>2010</v>
      </c>
      <c r="E5">
        <v>2023</v>
      </c>
      <c r="F5">
        <v>2020</v>
      </c>
      <c r="H5">
        <v>2030</v>
      </c>
      <c r="J5">
        <v>2030</v>
      </c>
      <c r="M5" s="142">
        <v>2020</v>
      </c>
      <c r="N5" s="142">
        <v>2030</v>
      </c>
    </row>
    <row r="6" spans="1:14">
      <c r="C6" t="s">
        <v>272</v>
      </c>
      <c r="D6" t="s">
        <v>272</v>
      </c>
      <c r="E6" t="s">
        <v>272</v>
      </c>
      <c r="F6" t="s">
        <v>272</v>
      </c>
      <c r="H6" t="s">
        <v>272</v>
      </c>
      <c r="J6" t="s">
        <v>272</v>
      </c>
      <c r="M6" s="142" t="s">
        <v>272</v>
      </c>
      <c r="N6" s="142"/>
    </row>
    <row r="7" spans="1:14">
      <c r="A7" s="123" t="s">
        <v>422</v>
      </c>
      <c r="B7" s="123"/>
      <c r="C7" s="123"/>
      <c r="D7" s="123"/>
      <c r="E7" s="123"/>
      <c r="F7" s="123"/>
      <c r="G7" s="123"/>
      <c r="H7" s="123"/>
      <c r="I7" s="123"/>
      <c r="J7" s="123"/>
      <c r="K7" s="123"/>
      <c r="M7" s="142"/>
      <c r="N7" s="142"/>
    </row>
    <row r="8" spans="1:14">
      <c r="B8" t="s">
        <v>423</v>
      </c>
      <c r="C8">
        <f>14.1</f>
        <v>14.1</v>
      </c>
      <c r="D8">
        <v>19.2</v>
      </c>
      <c r="E8">
        <v>15.6</v>
      </c>
      <c r="F8">
        <v>9.9</v>
      </c>
      <c r="H8">
        <v>17</v>
      </c>
      <c r="J8">
        <v>10.8</v>
      </c>
      <c r="L8" t="s">
        <v>424</v>
      </c>
      <c r="M8" s="142">
        <v>8.6999999999999993</v>
      </c>
      <c r="N8" s="142">
        <v>9.6</v>
      </c>
    </row>
    <row r="9" spans="1:14">
      <c r="B9" t="s">
        <v>425</v>
      </c>
      <c r="C9">
        <v>6.4</v>
      </c>
      <c r="D9">
        <v>6.6</v>
      </c>
      <c r="E9">
        <v>6.9</v>
      </c>
      <c r="F9">
        <v>7.7</v>
      </c>
      <c r="H9">
        <v>7.2</v>
      </c>
      <c r="J9">
        <v>8.6</v>
      </c>
      <c r="M9" s="142">
        <f>3.9+1.6</f>
        <v>5.5</v>
      </c>
      <c r="N9" s="142">
        <f>8.8+3.2</f>
        <v>12</v>
      </c>
    </row>
    <row r="10" spans="1:14">
      <c r="A10" s="510" t="s">
        <v>426</v>
      </c>
      <c r="B10" s="124" t="s">
        <v>427</v>
      </c>
      <c r="C10" s="124">
        <f>11</f>
        <v>11</v>
      </c>
      <c r="D10" s="124">
        <f>17.2+36.5</f>
        <v>53.7</v>
      </c>
      <c r="E10" s="124">
        <v>21</v>
      </c>
      <c r="F10" s="124">
        <f>17.4+35.6</f>
        <v>53</v>
      </c>
      <c r="G10" s="124"/>
      <c r="H10" s="124">
        <v>30</v>
      </c>
      <c r="I10" s="124"/>
      <c r="J10" s="124">
        <f>17.7+35.1</f>
        <v>52.8</v>
      </c>
      <c r="K10" s="124"/>
      <c r="L10" t="s">
        <v>428</v>
      </c>
      <c r="M10" s="142">
        <f>4.3+1+0.9</f>
        <v>6.2</v>
      </c>
      <c r="N10" s="142">
        <f>22+3.6+5.1</f>
        <v>30.700000000000003</v>
      </c>
    </row>
    <row r="11" spans="1:14">
      <c r="A11" s="510"/>
      <c r="B11" s="125" t="s">
        <v>429</v>
      </c>
      <c r="C11" s="125"/>
      <c r="D11" s="126">
        <v>17.2</v>
      </c>
      <c r="E11" s="126"/>
      <c r="F11" s="126">
        <v>17.399999999999999</v>
      </c>
      <c r="G11" s="126"/>
      <c r="H11" s="126"/>
      <c r="I11" s="126"/>
      <c r="J11" s="126">
        <v>17.7</v>
      </c>
      <c r="K11" s="126"/>
      <c r="M11" s="142"/>
      <c r="N11" s="142"/>
    </row>
    <row r="12" spans="1:14">
      <c r="A12" s="510"/>
      <c r="B12" s="127" t="s">
        <v>430</v>
      </c>
      <c r="C12" s="127"/>
      <c r="D12" s="124">
        <v>36.5</v>
      </c>
      <c r="E12" s="124"/>
      <c r="F12" s="124">
        <v>25.6</v>
      </c>
      <c r="G12" s="124"/>
      <c r="H12" s="124"/>
      <c r="I12" s="124"/>
      <c r="J12" s="124">
        <v>35.1</v>
      </c>
      <c r="K12" s="124"/>
      <c r="M12" s="142"/>
      <c r="N12" s="142"/>
    </row>
    <row r="13" spans="1:14">
      <c r="A13" s="510"/>
      <c r="B13" t="s">
        <v>431</v>
      </c>
      <c r="C13">
        <v>3</v>
      </c>
      <c r="D13">
        <v>5.0999999999999996</v>
      </c>
      <c r="E13">
        <v>8</v>
      </c>
      <c r="F13">
        <v>4.2</v>
      </c>
      <c r="H13">
        <v>12</v>
      </c>
      <c r="J13">
        <v>4.2</v>
      </c>
      <c r="M13" s="142"/>
      <c r="N13" s="142"/>
    </row>
    <row r="14" spans="1:14">
      <c r="A14" s="510"/>
      <c r="B14" t="s">
        <v>432</v>
      </c>
      <c r="C14" s="79">
        <f>14-C13</f>
        <v>11</v>
      </c>
      <c r="D14" s="79"/>
      <c r="E14" s="79">
        <f>29-E13</f>
        <v>21</v>
      </c>
      <c r="F14" s="79"/>
      <c r="G14" s="79"/>
      <c r="H14" s="79">
        <f>42-H13</f>
        <v>30</v>
      </c>
      <c r="I14" s="79"/>
      <c r="M14" s="142">
        <v>1.5</v>
      </c>
      <c r="N14" s="142">
        <v>2.9</v>
      </c>
    </row>
    <row r="15" spans="1:14">
      <c r="B15" t="s">
        <v>433</v>
      </c>
      <c r="C15">
        <v>14</v>
      </c>
      <c r="D15" s="124">
        <f>0.9+20.3</f>
        <v>21.2</v>
      </c>
      <c r="E15">
        <v>15</v>
      </c>
      <c r="F15" s="124">
        <f>0.7+18</f>
        <v>18.7</v>
      </c>
      <c r="G15" s="124"/>
      <c r="H15">
        <v>16</v>
      </c>
      <c r="J15" s="124">
        <f>0.8+19.2</f>
        <v>20</v>
      </c>
      <c r="K15" s="124"/>
      <c r="M15" s="142">
        <v>1.4</v>
      </c>
      <c r="N15" s="142">
        <v>3.2</v>
      </c>
    </row>
    <row r="16" spans="1:14">
      <c r="B16" t="s">
        <v>434</v>
      </c>
      <c r="D16">
        <v>0.8</v>
      </c>
      <c r="F16">
        <v>0.8</v>
      </c>
      <c r="J16">
        <v>0.1</v>
      </c>
      <c r="M16" s="142">
        <v>1.5</v>
      </c>
      <c r="N16" s="142">
        <v>0</v>
      </c>
    </row>
    <row r="17" spans="1:14">
      <c r="A17" s="123" t="s">
        <v>435</v>
      </c>
      <c r="B17" s="123"/>
      <c r="C17" s="123"/>
      <c r="D17" s="123"/>
      <c r="E17" s="123"/>
      <c r="F17" s="123"/>
      <c r="G17" s="123"/>
      <c r="H17" s="123"/>
      <c r="I17" s="123"/>
      <c r="J17" s="123"/>
      <c r="K17" s="123"/>
    </row>
    <row r="18" spans="1:14">
      <c r="A18" t="s">
        <v>436</v>
      </c>
      <c r="B18" t="s">
        <v>437</v>
      </c>
      <c r="C18">
        <v>17</v>
      </c>
      <c r="D18">
        <v>15.2</v>
      </c>
      <c r="E18">
        <v>23</v>
      </c>
      <c r="F18">
        <v>17.399999999999999</v>
      </c>
      <c r="H18">
        <v>29</v>
      </c>
      <c r="J18">
        <v>19</v>
      </c>
    </row>
    <row r="19" spans="1:14">
      <c r="B19" t="s">
        <v>438</v>
      </c>
      <c r="C19">
        <v>13</v>
      </c>
      <c r="D19">
        <v>1</v>
      </c>
      <c r="E19">
        <v>14</v>
      </c>
      <c r="F19">
        <v>1.1000000000000001</v>
      </c>
      <c r="H19">
        <v>14</v>
      </c>
      <c r="J19">
        <v>1.2</v>
      </c>
    </row>
    <row r="20" spans="1:14">
      <c r="A20" t="s">
        <v>439</v>
      </c>
      <c r="C20">
        <v>2.4</v>
      </c>
      <c r="D20">
        <f>3+2.7</f>
        <v>5.7</v>
      </c>
      <c r="E20">
        <v>3.1</v>
      </c>
      <c r="F20">
        <f>3.5+2.8</f>
        <v>6.3</v>
      </c>
      <c r="H20">
        <v>3.8</v>
      </c>
      <c r="J20">
        <f>3.8+2.8</f>
        <v>6.6</v>
      </c>
    </row>
    <row r="21" spans="1:14">
      <c r="A21" t="s">
        <v>440</v>
      </c>
      <c r="C21">
        <v>5</v>
      </c>
      <c r="D21">
        <f>0.7+4.8</f>
        <v>5.5</v>
      </c>
      <c r="E21">
        <v>6</v>
      </c>
      <c r="F21">
        <f>0.7+4.8</f>
        <v>5.5</v>
      </c>
      <c r="H21">
        <v>14</v>
      </c>
      <c r="J21">
        <f>0.8+6.6</f>
        <v>7.3999999999999995</v>
      </c>
    </row>
    <row r="22" spans="1:14">
      <c r="A22" t="s">
        <v>441</v>
      </c>
      <c r="D22">
        <v>0.1</v>
      </c>
      <c r="F22">
        <v>0.1</v>
      </c>
      <c r="J22">
        <v>0.1</v>
      </c>
    </row>
    <row r="23" spans="1:14">
      <c r="A23" t="s">
        <v>442</v>
      </c>
    </row>
    <row r="24" spans="1:14">
      <c r="A24" t="s">
        <v>443</v>
      </c>
      <c r="F24">
        <v>9.6999999999999993</v>
      </c>
      <c r="J24">
        <v>18.2</v>
      </c>
    </row>
    <row r="25" spans="1:14">
      <c r="A25" t="s">
        <v>444</v>
      </c>
    </row>
    <row r="26" spans="1:14">
      <c r="A26" t="s">
        <v>445</v>
      </c>
      <c r="C26">
        <v>0</v>
      </c>
      <c r="E26">
        <v>18</v>
      </c>
      <c r="H26">
        <v>53</v>
      </c>
      <c r="M26">
        <v>0.1</v>
      </c>
      <c r="N26">
        <v>16.7</v>
      </c>
    </row>
    <row r="29" spans="1:14">
      <c r="A29" s="124" t="s">
        <v>446</v>
      </c>
      <c r="B29" s="124"/>
      <c r="C29" s="124">
        <f>C18+C19+C20+C21+C22+C23+C24+C25</f>
        <v>37.4</v>
      </c>
      <c r="D29" s="124">
        <f t="shared" ref="D29:J29" si="0">D18+D19+D20+D21+D22+D23+D24+D25</f>
        <v>27.5</v>
      </c>
      <c r="E29" s="124">
        <f t="shared" si="0"/>
        <v>46.1</v>
      </c>
      <c r="F29" s="124">
        <f t="shared" si="0"/>
        <v>40.1</v>
      </c>
      <c r="G29" s="124">
        <f t="shared" si="0"/>
        <v>0</v>
      </c>
      <c r="H29" s="124">
        <f t="shared" si="0"/>
        <v>60.8</v>
      </c>
      <c r="I29" s="124">
        <f t="shared" si="0"/>
        <v>0</v>
      </c>
      <c r="J29" s="124">
        <f t="shared" si="0"/>
        <v>52.5</v>
      </c>
    </row>
    <row r="31" spans="1:14">
      <c r="A31" t="s">
        <v>447</v>
      </c>
    </row>
    <row r="32" spans="1:14">
      <c r="A32" t="s">
        <v>448</v>
      </c>
    </row>
    <row r="36" spans="10:13">
      <c r="J36" t="s">
        <v>449</v>
      </c>
      <c r="K36">
        <v>18</v>
      </c>
      <c r="L36" t="s">
        <v>450</v>
      </c>
    </row>
    <row r="39" spans="10:13">
      <c r="K39">
        <v>2020</v>
      </c>
      <c r="L39">
        <v>2030</v>
      </c>
      <c r="M39">
        <v>2050</v>
      </c>
    </row>
    <row r="40" spans="10:13">
      <c r="K40" t="s">
        <v>140</v>
      </c>
    </row>
    <row r="45" spans="10:13">
      <c r="J45" t="s">
        <v>451</v>
      </c>
      <c r="K45">
        <f>626*K36/1000</f>
        <v>11.268000000000001</v>
      </c>
      <c r="L45">
        <f>662*K36/1000</f>
        <v>11.916</v>
      </c>
      <c r="M45" s="124">
        <f>729*K36/1000</f>
        <v>13.122</v>
      </c>
    </row>
    <row r="46" spans="10:13">
      <c r="J46" t="s">
        <v>452</v>
      </c>
      <c r="K46">
        <f>665*K36/1000</f>
        <v>11.97</v>
      </c>
      <c r="L46">
        <f>799*K36/1000</f>
        <v>14.382</v>
      </c>
      <c r="M46">
        <f>1003*K36/1000</f>
        <v>18.053999999999998</v>
      </c>
    </row>
    <row r="47" spans="10:13">
      <c r="J47" t="s">
        <v>453</v>
      </c>
      <c r="K47">
        <f>650*K36/1000</f>
        <v>11.7</v>
      </c>
      <c r="L47">
        <f>749*K36/1000</f>
        <v>13.481999999999999</v>
      </c>
      <c r="M47">
        <f>979*K36/1000</f>
        <v>17.622</v>
      </c>
    </row>
    <row r="48" spans="10:13">
      <c r="J48" t="s">
        <v>454</v>
      </c>
      <c r="K48">
        <f>709*K36/1000</f>
        <v>12.762</v>
      </c>
      <c r="L48">
        <f>955*K36/1000</f>
        <v>17.190000000000001</v>
      </c>
      <c r="M48" s="124">
        <f>1324*K36/1000</f>
        <v>23.832000000000001</v>
      </c>
    </row>
    <row r="53" spans="15:16">
      <c r="O53" t="s">
        <v>455</v>
      </c>
      <c r="P53" t="s">
        <v>456</v>
      </c>
    </row>
  </sheetData>
  <mergeCells count="1">
    <mergeCell ref="A10:A14"/>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CE90D-3527-4627-90B5-877DB8C7B5A6}">
  <dimension ref="A3:O15"/>
  <sheetViews>
    <sheetView workbookViewId="0">
      <selection activeCell="Q39" sqref="Q39"/>
    </sheetView>
  </sheetViews>
  <sheetFormatPr defaultRowHeight="15.75"/>
  <cols>
    <col min="3" max="3" width="20.25" customWidth="1"/>
    <col min="10" max="10" width="9.375" bestFit="1" customWidth="1"/>
  </cols>
  <sheetData>
    <row r="3" spans="1:15">
      <c r="J3" t="s">
        <v>457</v>
      </c>
    </row>
    <row r="4" spans="1:15" ht="16.5" thickBot="1">
      <c r="A4" s="128" t="s">
        <v>458</v>
      </c>
      <c r="J4" t="s">
        <v>459</v>
      </c>
      <c r="K4" t="s">
        <v>460</v>
      </c>
      <c r="L4" t="s">
        <v>461</v>
      </c>
      <c r="M4" t="s">
        <v>462</v>
      </c>
    </row>
    <row r="5" spans="1:15" ht="16.5" thickBot="1">
      <c r="A5" s="511"/>
      <c r="B5" s="512"/>
      <c r="C5" s="158" t="s">
        <v>202</v>
      </c>
      <c r="D5" s="129">
        <v>2015</v>
      </c>
      <c r="E5" s="129">
        <v>2020</v>
      </c>
      <c r="F5" s="129">
        <v>2030</v>
      </c>
      <c r="G5" s="129">
        <v>2040</v>
      </c>
      <c r="H5" s="129">
        <v>2050</v>
      </c>
      <c r="J5" t="s">
        <v>463</v>
      </c>
      <c r="K5" t="s">
        <v>463</v>
      </c>
      <c r="L5" t="s">
        <v>463</v>
      </c>
      <c r="M5" t="s">
        <v>463</v>
      </c>
    </row>
    <row r="6" spans="1:15" ht="17.25" customHeight="1" thickTop="1" thickBot="1">
      <c r="A6" s="513" t="s">
        <v>464</v>
      </c>
      <c r="B6" s="130" t="s">
        <v>465</v>
      </c>
      <c r="C6" s="130" t="s">
        <v>466</v>
      </c>
      <c r="D6" s="516">
        <v>5300</v>
      </c>
      <c r="E6" s="131">
        <v>5010</v>
      </c>
      <c r="F6" s="131">
        <v>4870</v>
      </c>
      <c r="G6" s="131">
        <v>4760</v>
      </c>
      <c r="H6" s="131">
        <v>4590</v>
      </c>
      <c r="I6" s="130" t="s">
        <v>465</v>
      </c>
      <c r="J6" s="132">
        <f>($D$6-E6)/$D$6/5</f>
        <v>1.0943396226415094E-2</v>
      </c>
      <c r="K6" s="132">
        <f>(E6-F6)/E6/10</f>
        <v>2.7944111776447107E-3</v>
      </c>
      <c r="L6" s="132">
        <f t="shared" ref="L6:M10" si="0">(F6-G6)/F6/10</f>
        <v>2.2587268993839839E-3</v>
      </c>
      <c r="M6" s="132">
        <f t="shared" si="0"/>
        <v>3.5714285714285713E-3</v>
      </c>
      <c r="N6" s="132"/>
      <c r="O6" s="132"/>
    </row>
    <row r="7" spans="1:15" ht="16.5" thickBot="1">
      <c r="A7" s="514"/>
      <c r="B7" s="133" t="s">
        <v>467</v>
      </c>
      <c r="C7" s="133" t="s">
        <v>466</v>
      </c>
      <c r="D7" s="517"/>
      <c r="E7" s="134">
        <v>4900</v>
      </c>
      <c r="F7" s="134">
        <v>4680</v>
      </c>
      <c r="G7" s="134">
        <v>4490</v>
      </c>
      <c r="H7" s="134">
        <v>4280</v>
      </c>
      <c r="I7" s="133" t="s">
        <v>467</v>
      </c>
      <c r="J7" s="132">
        <f t="shared" ref="J7:J10" si="1">($D$6-E7)/$D$6/5</f>
        <v>1.509433962264151E-2</v>
      </c>
      <c r="K7" s="132">
        <f t="shared" ref="K7:K10" si="2">(E7-F7)/E7/10</f>
        <v>4.489795918367347E-3</v>
      </c>
      <c r="L7" s="132">
        <f t="shared" si="0"/>
        <v>4.0598290598290602E-3</v>
      </c>
      <c r="M7" s="132">
        <f t="shared" si="0"/>
        <v>4.6770601336302894E-3</v>
      </c>
    </row>
    <row r="8" spans="1:15" ht="16.5" thickBot="1">
      <c r="A8" s="514"/>
      <c r="B8" s="130" t="s">
        <v>468</v>
      </c>
      <c r="C8" s="130" t="s">
        <v>466</v>
      </c>
      <c r="D8" s="517"/>
      <c r="E8" s="131">
        <v>4980</v>
      </c>
      <c r="F8" s="131">
        <v>4700</v>
      </c>
      <c r="G8" s="131">
        <v>4560</v>
      </c>
      <c r="H8" s="131">
        <v>4390</v>
      </c>
      <c r="I8" s="130" t="s">
        <v>468</v>
      </c>
      <c r="J8" s="132">
        <f t="shared" si="1"/>
        <v>1.2075471698113207E-2</v>
      </c>
      <c r="K8" s="132">
        <f t="shared" si="2"/>
        <v>5.6224899598393569E-3</v>
      </c>
      <c r="L8" s="132">
        <f t="shared" si="0"/>
        <v>2.9787234042553193E-3</v>
      </c>
      <c r="M8" s="132">
        <f t="shared" si="0"/>
        <v>3.7280701754385964E-3</v>
      </c>
    </row>
    <row r="9" spans="1:15" ht="16.5" thickBot="1">
      <c r="A9" s="514"/>
      <c r="B9" s="133" t="s">
        <v>249</v>
      </c>
      <c r="C9" s="133" t="s">
        <v>466</v>
      </c>
      <c r="D9" s="517"/>
      <c r="E9" s="134">
        <v>4740</v>
      </c>
      <c r="F9" s="134">
        <v>4450</v>
      </c>
      <c r="G9" s="134">
        <v>4190</v>
      </c>
      <c r="H9" s="134">
        <v>3920</v>
      </c>
      <c r="I9" s="133" t="s">
        <v>249</v>
      </c>
      <c r="J9" s="132">
        <f>(($D$6-E9)/$D$6)^1/5</f>
        <v>2.1132075471698115E-2</v>
      </c>
      <c r="K9" s="132">
        <f t="shared" si="2"/>
        <v>6.118143459915612E-3</v>
      </c>
      <c r="L9" s="132">
        <f t="shared" si="0"/>
        <v>5.8426966292134831E-3</v>
      </c>
      <c r="M9" s="132">
        <f t="shared" si="0"/>
        <v>6.4439140811455853E-3</v>
      </c>
    </row>
    <row r="10" spans="1:15" ht="16.5" thickBot="1">
      <c r="A10" s="515"/>
      <c r="B10" s="130" t="s">
        <v>250</v>
      </c>
      <c r="C10" s="130" t="s">
        <v>466</v>
      </c>
      <c r="D10" s="518"/>
      <c r="E10" s="131">
        <v>5180</v>
      </c>
      <c r="F10" s="131">
        <v>5130</v>
      </c>
      <c r="G10" s="131">
        <v>5080</v>
      </c>
      <c r="H10" s="131">
        <v>5010</v>
      </c>
      <c r="I10" s="130" t="s">
        <v>250</v>
      </c>
      <c r="J10" s="132">
        <f t="shared" si="1"/>
        <v>4.5283018867924522E-3</v>
      </c>
      <c r="K10" s="132">
        <f t="shared" si="2"/>
        <v>9.6525096525096527E-4</v>
      </c>
      <c r="L10" s="132">
        <f t="shared" si="0"/>
        <v>9.7465886939571145E-4</v>
      </c>
      <c r="M10" s="132">
        <f t="shared" si="0"/>
        <v>1.3779527559055118E-3</v>
      </c>
    </row>
    <row r="11" spans="1:15" ht="16.5" thickBot="1">
      <c r="A11" s="147" t="s">
        <v>469</v>
      </c>
      <c r="B11" s="133" t="s">
        <v>245</v>
      </c>
      <c r="C11" s="133" t="s">
        <v>470</v>
      </c>
      <c r="D11" s="135">
        <v>0.02</v>
      </c>
      <c r="E11" s="135">
        <v>0.02</v>
      </c>
      <c r="F11" s="135">
        <v>0.02</v>
      </c>
      <c r="G11" s="135">
        <v>0.02</v>
      </c>
      <c r="H11" s="135">
        <v>0.02</v>
      </c>
    </row>
    <row r="12" spans="1:15">
      <c r="I12" t="s">
        <v>471</v>
      </c>
    </row>
    <row r="14" spans="1:15">
      <c r="D14" t="s">
        <v>472</v>
      </c>
    </row>
    <row r="15" spans="1:15">
      <c r="J15" s="136"/>
    </row>
  </sheetData>
  <mergeCells count="3">
    <mergeCell ref="A5:B5"/>
    <mergeCell ref="A6:A10"/>
    <mergeCell ref="D6:D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NOC_ClusterId xmlns="2f6a910d-138e-42c1-8e8a-320c1b7cf3f7">060.33948</TNOC_ClusterId>
    <lca20d149a844688b6abf34073d5c21d xmlns="611ea500-83e9-4ef4-bf2f-c0233a31331f">
      <Terms xmlns="http://schemas.microsoft.com/office/infopath/2007/PartnerControls"/>
    </lca20d149a844688b6abf34073d5c21d>
    <h15fbb78f4cb41d290e72f301ea2865f xmlns="611ea500-83e9-4ef4-bf2f-c0233a31331f">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bac4ab11065f4f6c809c820c57e320e5 xmlns="611ea500-83e9-4ef4-bf2f-c0233a31331f">
      <Terms xmlns="http://schemas.microsoft.com/office/infopath/2007/PartnerControls"/>
    </bac4ab11065f4f6c809c820c57e320e5>
    <cf581d8792c646118aad2c2c4ecdfa8c xmlns="611ea500-83e9-4ef4-bf2f-c0233a31331f">
      <Terms xmlns="http://schemas.microsoft.com/office/infopath/2007/PartnerControls"/>
    </cf581d8792c646118aad2c2c4ecdfa8c>
    <_dlc_DocId xmlns="611ea500-83e9-4ef4-bf2f-c0233a31331f">K5WJPCK5SUVE-119146697-12067</_dlc_DocId>
    <TaxCatchAll xmlns="611ea500-83e9-4ef4-bf2f-c0233a31331f">
      <Value>5</Value>
      <Value>1</Value>
    </TaxCatchAll>
    <n2a7a23bcc2241cb9261f9a914c7c1bb xmlns="611ea500-83e9-4ef4-bf2f-c0233a31331f">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NOC_ClusterName xmlns="2f6a910d-138e-42c1-8e8a-320c1b7cf3f7">5.5311 - Factsheets technologie-n</TNOC_ClusterName>
    <_dlc_DocIdUrl xmlns="611ea500-83e9-4ef4-bf2f-c0233a31331f">
      <Url>https://365tno.sharepoint.com/teams/P060.33948/_layouts/15/DocIdRedir.aspx?ID=K5WJPCK5SUVE-119146697-12067</Url>
      <Description>K5WJPCK5SUVE-119146697-12067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930A1513B42B0E4BA633819D1BDE4F35" ma:contentTypeVersion="13" ma:contentTypeDescription=" " ma:contentTypeScope="" ma:versionID="35139241cd4f05d57b4d02c08f33da92">
  <xsd:schema xmlns:xsd="http://www.w3.org/2001/XMLSchema" xmlns:xs="http://www.w3.org/2001/XMLSchema" xmlns:p="http://schemas.microsoft.com/office/2006/metadata/properties" xmlns:ns2="611ea500-83e9-4ef4-bf2f-c0233a31331f" xmlns:ns3="2f6a910d-138e-42c1-8e8a-320c1b7cf3f7" xmlns:ns5="cf22d98f-2e61-47ad-a8ad-1f63cee94d1b" targetNamespace="http://schemas.microsoft.com/office/2006/metadata/properties" ma:root="true" ma:fieldsID="76f799b448fd82abcbd4d0ba1242c0c2" ns2:_="" ns3:_="" ns5:_="">
    <xsd:import namespace="611ea500-83e9-4ef4-bf2f-c0233a31331f"/>
    <xsd:import namespace="2f6a910d-138e-42c1-8e8a-320c1b7cf3f7"/>
    <xsd:import namespace="cf22d98f-2e61-47ad-a8ad-1f63cee94d1b"/>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DateTaken" minOccurs="0"/>
                <xsd:element ref="ns5:MediaServiceAutoTags" minOccurs="0"/>
                <xsd:element ref="ns5:MediaServiceOCR" minOccurs="0"/>
                <xsd:element ref="ns2:SharedWithUsers" minOccurs="0"/>
                <xsd:element ref="ns2:SharedWithDetails" minOccurs="0"/>
                <xsd:element ref="ns5:MediaServiceGenerationTime" minOccurs="0"/>
                <xsd:element ref="ns5:MediaServiceEventHashCode" minOccurs="0"/>
                <xsd:element ref="ns5:MediaServiceAutoKeyPoints" minOccurs="0"/>
                <xsd:element ref="ns5:MediaServiceKeyPoint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ea500-83e9-4ef4-bf2f-c0233a31331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4c981b9-958d-4dec-967d-0b3a4b128dac}" ma:internalName="TaxCatchAll" ma:showField="CatchAllData"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4c981b9-958d-4dec-967d-0b3a4b128dac}" ma:internalName="TaxCatchAllLabel" ma:readOnly="true" ma:showField="CatchAllDataLabel"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5.5311 - Factsheets technologie-n" ma:internalName="TNOC_ClusterName">
      <xsd:simpleType>
        <xsd:restriction base="dms:Text">
          <xsd:maxLength value="255"/>
        </xsd:restriction>
      </xsd:simpleType>
    </xsd:element>
    <xsd:element name="TNOC_ClusterId" ma:index="12" nillable="true" ma:displayName="Cluster ID" ma:default="060.33948"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22d98f-2e61-47ad-a8ad-1f63cee94d1b"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MediaServiceAutoTags" ma:internalName="MediaServiceAutoTags" ma:readOnly="true">
      <xsd:simpleType>
        <xsd:restriction base="dms:Text"/>
      </xsd:simpleType>
    </xsd:element>
    <xsd:element name="MediaServiceOCR" ma:index="30" nillable="true" ma:displayName="MediaServiceOCR"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936DF1-C4CC-462A-A7AC-0452F494223B}"/>
</file>

<file path=customXml/itemProps2.xml><?xml version="1.0" encoding="utf-8"?>
<ds:datastoreItem xmlns:ds="http://schemas.openxmlformats.org/officeDocument/2006/customXml" ds:itemID="{DCA21FA0-7653-4DE0-86AF-92393112108D}"/>
</file>

<file path=customXml/itemProps3.xml><?xml version="1.0" encoding="utf-8"?>
<ds:datastoreItem xmlns:ds="http://schemas.openxmlformats.org/officeDocument/2006/customXml" ds:itemID="{4508A1F1-9AA0-4269-8A00-BB54A8892C61}"/>
</file>

<file path=customXml/itemProps4.xml><?xml version="1.0" encoding="utf-8"?>
<ds:datastoreItem xmlns:ds="http://schemas.openxmlformats.org/officeDocument/2006/customXml" ds:itemID="{AAFBAC11-FB13-479A-8053-AC487C61F8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Frankfort, L. (Linda)</cp:lastModifiedBy>
  <cp:revision/>
  <dcterms:created xsi:type="dcterms:W3CDTF">2018-07-06T12:34:34Z</dcterms:created>
  <dcterms:modified xsi:type="dcterms:W3CDTF">2023-12-20T12:16:18Z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NOC_DocumentClassification">
    <vt:lpwstr>5;#TNO Internal|1a23c89f-ef54-4907-86fd-8242403ff722</vt:lpwstr>
  </property>
  <property fmtid="{D5CDD505-2E9C-101B-9397-08002B2CF9AE}" pid="3" name="ContentTypeId">
    <vt:lpwstr>0x010100A35317DCC28344A7B82488658A034A5C0100930A1513B42B0E4BA633819D1BDE4F35</vt:lpwstr>
  </property>
  <property fmtid="{D5CDD505-2E9C-101B-9397-08002B2CF9AE}" pid="4" name="TNOC_DocumentType">
    <vt:lpwstr/>
  </property>
  <property fmtid="{D5CDD505-2E9C-101B-9397-08002B2CF9AE}" pid="5" name="TNOC_DocumentCategory">
    <vt:lpwstr/>
  </property>
  <property fmtid="{D5CDD505-2E9C-101B-9397-08002B2CF9AE}" pid="6" name="TNOC_ClusterType">
    <vt:lpwstr>1;#Project|fa11c4c9-105f-402c-bb40-9a56b4989397</vt:lpwstr>
  </property>
  <property fmtid="{D5CDD505-2E9C-101B-9397-08002B2CF9AE}" pid="7" name="_dlc_DocIdItemGuid">
    <vt:lpwstr>2800e743-6459-474f-9621-627fdf6c5825</vt:lpwstr>
  </property>
  <property fmtid="{D5CDD505-2E9C-101B-9397-08002B2CF9AE}" pid="8" name="TNOC_DocumentSetType">
    <vt:lpwstr/>
  </property>
  <property fmtid="{D5CDD505-2E9C-101B-9397-08002B2CF9AE}" pid="9" name="SaveCode">
    <vt:r8>731437325477600</vt:r8>
  </property>
</Properties>
</file>