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10" documentId="13_ncr:1_{8D57024E-2835-40F5-B1E8-5D528DDADF02}" xr6:coauthVersionLast="47" xr6:coauthVersionMax="47" xr10:uidLastSave="{6F8B2E2A-516E-4323-BBDC-13879CA66D89}"/>
  <workbookProtection workbookAlgorithmName="SHA-512" workbookHashValue="tXuyzKbY5xbPYAPHVpeFZxXuvnS4pyDLV3s4uBE4NIaKDVqNyMgVc+xSTxWn1E1T4Avm7k4tfH+qM40s8wqe9Q==" workbookSaltValue="XknLZKPJIHWH95GVWwMTgw==" workbookSpinCount="100000" lockStructure="1"/>
  <bookViews>
    <workbookView xWindow="110" yWindow="990" windowWidth="16630" windowHeight="9210" tabRatio="500" firstSheet="3" activeTab="3" xr2:uid="{00000000-000D-0000-FFFF-FFFF00000000}"/>
  </bookViews>
  <sheets>
    <sheet name="READ ME" sheetId="3" state="hidden" r:id="rId1"/>
    <sheet name="Data input old" sheetId="8" state="hidden" r:id="rId2"/>
    <sheet name="Data input" sheetId="2" state="hidden" r:id="rId3"/>
    <sheet name="Factsheet" sheetId="1" r:id="rId4"/>
    <sheet name="ESDL Changelog" sheetId="9" state="hidden" r:id="rId5"/>
    <sheet name="List" sheetId="4" state="hidden" r:id="rId6"/>
    <sheet name="Calculations" sheetId="5" state="hidden" r:id="rId7"/>
    <sheet name="Wet biomass potential" sheetId="6" state="hidden" r:id="rId8"/>
    <sheet name="ETRI data" sheetId="7" state="hidden" r:id="rId9"/>
  </sheets>
  <definedNames>
    <definedName name="_ftn1" localSheetId="0">'READ ME'!$C$107</definedName>
    <definedName name="_ftnref1" localSheetId="0">'READ ME'!$C$96</definedName>
    <definedName name="_xlnm.Print_Area" localSheetId="3">Factsheet!$B$1:$O$58</definedName>
    <definedName name="_xlnm.Print_Area" localSheetId="0">'READ ME'!$A$1:$D$110</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7" i="2" l="1"/>
  <c r="C25" i="5"/>
  <c r="C24" i="5"/>
  <c r="C26" i="5"/>
  <c r="C27" i="5"/>
  <c r="C28" i="5"/>
  <c r="C29" i="5"/>
  <c r="O22" i="8" s="1"/>
  <c r="C23" i="5"/>
  <c r="H22" i="8"/>
  <c r="BA94" i="8"/>
  <c r="BA93" i="8"/>
  <c r="BA92" i="8"/>
  <c r="BA91" i="8"/>
  <c r="BA90" i="8"/>
  <c r="BA89" i="8"/>
  <c r="BA88" i="8"/>
  <c r="BA87" i="8"/>
  <c r="BA86" i="8"/>
  <c r="BA85" i="8"/>
  <c r="BA84" i="8"/>
  <c r="BA77" i="8"/>
  <c r="BA65" i="8"/>
  <c r="BA57" i="8"/>
  <c r="BA45" i="8"/>
  <c r="Q44" i="8"/>
  <c r="L44" i="8"/>
  <c r="G43" i="8"/>
  <c r="L43" i="8" s="1"/>
  <c r="Q43" i="8" s="1"/>
  <c r="E43" i="8"/>
  <c r="G41" i="8"/>
  <c r="L41" i="8" s="1"/>
  <c r="Q41" i="8" s="1"/>
  <c r="E41" i="8"/>
  <c r="G39" i="8"/>
  <c r="E39" i="8"/>
  <c r="S37" i="8"/>
  <c r="S41" i="8" s="1"/>
  <c r="R37" i="8"/>
  <c r="R41" i="8" s="1"/>
  <c r="N37" i="8"/>
  <c r="N41" i="8" s="1"/>
  <c r="M37" i="8"/>
  <c r="M41" i="8" s="1"/>
  <c r="L37" i="8"/>
  <c r="Q37" i="8" s="1"/>
  <c r="I37" i="8"/>
  <c r="I41" i="8" s="1"/>
  <c r="H37" i="8"/>
  <c r="H41" i="8" s="1"/>
  <c r="G37" i="8"/>
  <c r="E37" i="8"/>
  <c r="AZ33" i="8"/>
  <c r="O23" i="8"/>
  <c r="N22" i="8"/>
  <c r="M22" i="8"/>
  <c r="J22" i="8"/>
  <c r="I22" i="8"/>
  <c r="D21" i="8"/>
  <c r="D18" i="8"/>
  <c r="AZ13" i="8"/>
  <c r="AZ11" i="8"/>
  <c r="D10" i="1"/>
  <c r="B74" i="1" l="1"/>
  <c r="O28" i="5" l="1"/>
  <c r="O29" i="5"/>
  <c r="A29" i="5"/>
  <c r="B29" i="5"/>
  <c r="H15" i="6"/>
  <c r="A27" i="5"/>
  <c r="B27" i="5" s="1"/>
  <c r="A26" i="5"/>
  <c r="B26" i="5" s="1"/>
  <c r="A28" i="5"/>
  <c r="B28" i="5" s="1"/>
  <c r="F15" i="6"/>
  <c r="A25" i="5" s="1"/>
  <c r="B25" i="5" s="1"/>
  <c r="A24" i="5"/>
  <c r="B24" i="5"/>
  <c r="H31" i="6"/>
  <c r="G31" i="6"/>
  <c r="F31" i="6"/>
  <c r="E31" i="6"/>
  <c r="D31" i="6"/>
  <c r="C31" i="6"/>
  <c r="G30" i="6"/>
  <c r="E30" i="6"/>
  <c r="D15" i="6"/>
  <c r="D30" i="6"/>
  <c r="C30" i="6"/>
  <c r="H29" i="6"/>
  <c r="G29" i="6"/>
  <c r="F29" i="6"/>
  <c r="E29" i="6"/>
  <c r="D29" i="6"/>
  <c r="G28" i="6"/>
  <c r="F28" i="6"/>
  <c r="E28" i="6"/>
  <c r="C28" i="6"/>
  <c r="G27" i="6"/>
  <c r="E27" i="6"/>
  <c r="C8" i="6"/>
  <c r="C10" i="6"/>
  <c r="H21" i="6"/>
  <c r="F21" i="6"/>
  <c r="D21" i="6"/>
  <c r="H20" i="6"/>
  <c r="F20" i="6"/>
  <c r="D20" i="6"/>
  <c r="H30" i="6"/>
  <c r="H10" i="6"/>
  <c r="F10" i="6"/>
  <c r="F27" i="6"/>
  <c r="D10" i="6"/>
  <c r="C29" i="6"/>
  <c r="H27" i="6"/>
  <c r="O23" i="2"/>
  <c r="D106" i="3"/>
  <c r="J6" i="7"/>
  <c r="K6" i="7"/>
  <c r="L6" i="7"/>
  <c r="M6" i="7"/>
  <c r="Q44" i="2"/>
  <c r="G38" i="1"/>
  <c r="M10" i="7"/>
  <c r="L10" i="7"/>
  <c r="K10" i="7"/>
  <c r="J10" i="7"/>
  <c r="M9" i="7"/>
  <c r="L9" i="7"/>
  <c r="K9" i="7"/>
  <c r="J9" i="7"/>
  <c r="M8" i="7"/>
  <c r="L8" i="7"/>
  <c r="K8" i="7"/>
  <c r="J8" i="7"/>
  <c r="M7" i="7"/>
  <c r="L7" i="7"/>
  <c r="K7" i="7"/>
  <c r="J7" i="7"/>
  <c r="K10" i="6"/>
  <c r="J10" i="6"/>
  <c r="K9" i="6"/>
  <c r="J9" i="6"/>
  <c r="B37" i="5"/>
  <c r="D36" i="5"/>
  <c r="D37" i="5"/>
  <c r="D38" i="5"/>
  <c r="J19" i="5"/>
  <c r="J20" i="5"/>
  <c r="J21" i="5"/>
  <c r="E24" i="1"/>
  <c r="D25" i="1"/>
  <c r="AZ13" i="2"/>
  <c r="BA85" i="2"/>
  <c r="BA86" i="2"/>
  <c r="BA87" i="2"/>
  <c r="BA88" i="2"/>
  <c r="BA89" i="2"/>
  <c r="BA90" i="2"/>
  <c r="BA91" i="2"/>
  <c r="BA92" i="2"/>
  <c r="BA93" i="2"/>
  <c r="BA94" i="2"/>
  <c r="BA84" i="2"/>
  <c r="BA77" i="2"/>
  <c r="BA65" i="2"/>
  <c r="BA57" i="2"/>
  <c r="BA45" i="2"/>
  <c r="AZ33" i="2"/>
  <c r="AZ11" i="2"/>
  <c r="D69" i="1"/>
  <c r="AZ69" i="1" s="1"/>
  <c r="O21" i="1"/>
  <c r="M21" i="1"/>
  <c r="L21" i="1"/>
  <c r="J21" i="1"/>
  <c r="I21" i="1"/>
  <c r="G21" i="1"/>
  <c r="M20" i="1"/>
  <c r="J20" i="1"/>
  <c r="G20" i="1"/>
  <c r="O19" i="1"/>
  <c r="M19" i="1"/>
  <c r="L19" i="1"/>
  <c r="J19" i="1"/>
  <c r="I19" i="1"/>
  <c r="G19" i="1"/>
  <c r="M18" i="1"/>
  <c r="J18" i="1"/>
  <c r="G18" i="1"/>
  <c r="B71" i="1"/>
  <c r="AZ71" i="1" s="1"/>
  <c r="F67" i="1"/>
  <c r="F65" i="1"/>
  <c r="F63" i="1"/>
  <c r="F61" i="1"/>
  <c r="E38" i="1"/>
  <c r="E36" i="1"/>
  <c r="E34" i="1"/>
  <c r="E32" i="1"/>
  <c r="D12" i="1"/>
  <c r="AZ12" i="1" s="1"/>
  <c r="D67" i="1"/>
  <c r="D65" i="1"/>
  <c r="D63" i="1"/>
  <c r="D61" i="1"/>
  <c r="D44" i="1"/>
  <c r="D49" i="1"/>
  <c r="D47" i="1"/>
  <c r="D45" i="1"/>
  <c r="F20" i="1"/>
  <c r="F17" i="1"/>
  <c r="D28" i="1"/>
  <c r="AZ28" i="1" s="1"/>
  <c r="D22" i="1"/>
  <c r="B73" i="1"/>
  <c r="AZ73" i="1" s="1"/>
  <c r="AZ74" i="1"/>
  <c r="B75" i="1"/>
  <c r="AZ75" i="1" s="1"/>
  <c r="B76" i="1"/>
  <c r="AZ76" i="1" s="1"/>
  <c r="B72" i="1"/>
  <c r="AZ72" i="1" s="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G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F54" i="1"/>
  <c r="D54" i="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5" i="1"/>
  <c r="M35" i="1"/>
  <c r="L35" i="1"/>
  <c r="J35" i="1"/>
  <c r="I39" i="1"/>
  <c r="G39" i="1"/>
  <c r="I35" i="1"/>
  <c r="G35" i="1"/>
  <c r="M34" i="1"/>
  <c r="J34" i="1"/>
  <c r="G34" i="1"/>
  <c r="E43" i="2"/>
  <c r="E41" i="2"/>
  <c r="E37" i="2"/>
  <c r="E39" i="2"/>
  <c r="D26" i="1"/>
  <c r="D27" i="1"/>
  <c r="D24" i="1"/>
  <c r="D9" i="1"/>
  <c r="M16" i="1"/>
  <c r="G16" i="1"/>
  <c r="G15" i="1"/>
  <c r="D21" i="2"/>
  <c r="D17" i="1" s="1"/>
  <c r="D18" i="2"/>
  <c r="D15" i="1" s="1"/>
  <c r="D11" i="1"/>
  <c r="AZ10" i="1"/>
  <c r="D7" i="1"/>
  <c r="D8" i="1"/>
  <c r="D4" i="1"/>
  <c r="J39" i="1" l="1"/>
  <c r="J38" i="1"/>
  <c r="I33" i="1"/>
  <c r="D27" i="6"/>
  <c r="C27" i="6"/>
  <c r="O39" i="1"/>
  <c r="M38" i="1"/>
  <c r="M39" i="1"/>
  <c r="I37" i="1"/>
  <c r="G37" i="1"/>
  <c r="G36" i="1"/>
  <c r="L39" i="1"/>
  <c r="G32" i="1"/>
  <c r="G33" i="1"/>
  <c r="F30" i="6"/>
  <c r="L37" i="1" l="1"/>
  <c r="J37" i="1"/>
  <c r="J36" i="1"/>
  <c r="L33" i="1"/>
  <c r="J32" i="1"/>
  <c r="J33" i="1"/>
  <c r="O33" i="1" l="1"/>
  <c r="M33" i="1"/>
  <c r="M32" i="1"/>
  <c r="O37" i="1"/>
  <c r="M37" i="1"/>
  <c r="M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Uslu</author>
  </authors>
  <commentList>
    <comment ref="D65" authorId="0" shapeId="0" xr:uid="{C83F3F74-0A39-459F-84EC-129045505579}">
      <text>
        <r>
          <rPr>
            <b/>
            <sz val="9"/>
            <color indexed="81"/>
            <rFont val="Tahoma"/>
            <family val="2"/>
          </rPr>
          <t>A. Uslu:</t>
        </r>
        <r>
          <rPr>
            <sz val="9"/>
            <color indexed="81"/>
            <rFont val="Tahoma"/>
            <family val="2"/>
          </rPr>
          <t xml:space="preserve">
Koen: I mention here the economic value based on a figure from one of the SDE+ applications. But be are that the cost of the further treatment of digestate is not included in anywhere and it will cost me much more time to define representative cost figure. I am not user how important and relevant those data/info are as they are somewhat outside  of the energy production from fermentation system boundaries. 
Jeroen: can you comment on this section. what is the economic value of a compost following to the GFT digestion? can you help me with some representative cost data for further processing of digestate with references?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Uslu</author>
  </authors>
  <commentList>
    <comment ref="D65" authorId="0" shapeId="0" xr:uid="{568D4FD1-0018-4D6F-BAFA-EE03B76FD9BD}">
      <text>
        <r>
          <rPr>
            <b/>
            <sz val="9"/>
            <color indexed="81"/>
            <rFont val="Tahoma"/>
            <family val="2"/>
          </rPr>
          <t>A. Uslu:</t>
        </r>
        <r>
          <rPr>
            <sz val="9"/>
            <color indexed="81"/>
            <rFont val="Tahoma"/>
            <family val="2"/>
          </rPr>
          <t xml:space="preserve">
Koen: I mention here the economic value based on a figure from one of the SDE+ applications. But be are that the cost of the further treatment of digestate is not included in anywhere and it will cost me much more time to define representative cost figure. I am not user how important and relevant those data/info are as they are somewhat outside  of the energy production from fermentation system boundaries. 
Jeroen: can you comment on this section. what is the economic value of a compost following to the GFT digestion? can you help me with some representative cost data for further processing of digestate with references?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Uslu</author>
  </authors>
  <commentList>
    <comment ref="D4" authorId="0" shapeId="0" xr:uid="{8F44C0B5-5E90-4674-9789-C8AD2FF13A9A}">
      <text>
        <r>
          <rPr>
            <b/>
            <sz val="9"/>
            <color indexed="81"/>
            <rFont val="Tahoma"/>
            <family val="2"/>
          </rPr>
          <t>A. Uslu:</t>
        </r>
        <r>
          <rPr>
            <sz val="9"/>
            <color indexed="81"/>
            <rFont val="Tahoma"/>
            <family val="2"/>
          </rPr>
          <t xml:space="preserve">
within the IEE biomass Policies project</t>
        </r>
      </text>
    </comment>
    <comment ref="D8" authorId="0" shapeId="0" xr:uid="{F435748D-F18E-4A09-A391-1A96EEDFCBB7}">
      <text>
        <r>
          <rPr>
            <b/>
            <sz val="9"/>
            <color indexed="81"/>
            <rFont val="Tahoma"/>
            <family val="2"/>
          </rPr>
          <t>A. Uslu:</t>
        </r>
        <r>
          <rPr>
            <sz val="9"/>
            <color indexed="81"/>
            <rFont val="Tahoma"/>
            <family val="2"/>
          </rPr>
          <t xml:space="preserve">
refers to mixed food waste</t>
        </r>
      </text>
    </comment>
    <comment ref="J14" authorId="0" shapeId="0" xr:uid="{68556AF8-5238-44B4-9C9E-D1FCB12BBFEF}">
      <text>
        <r>
          <rPr>
            <b/>
            <sz val="9"/>
            <color indexed="81"/>
            <rFont val="Tahoma"/>
            <family val="2"/>
          </rPr>
          <t>A. Uslu:</t>
        </r>
        <r>
          <rPr>
            <sz val="9"/>
            <color indexed="81"/>
            <rFont val="Tahoma"/>
            <family val="2"/>
          </rPr>
          <t xml:space="preserve">
grass
</t>
        </r>
      </text>
    </comment>
    <comment ref="D15" authorId="0" shapeId="0" xr:uid="{4414D1C6-9794-4CDC-8A52-23DC4CAF416B}">
      <text>
        <r>
          <rPr>
            <b/>
            <sz val="9"/>
            <color indexed="81"/>
            <rFont val="Tahoma"/>
            <family val="2"/>
          </rPr>
          <t>A. Uslu:</t>
        </r>
        <r>
          <rPr>
            <sz val="9"/>
            <color indexed="81"/>
            <rFont val="Tahoma"/>
            <family val="2"/>
          </rPr>
          <t xml:space="preserve">
includes vegetable waste
and organic fraction of MSW</t>
        </r>
      </text>
    </comment>
    <comment ref="D20" authorId="0" shapeId="0" xr:uid="{642B6267-CD86-400D-8755-2521FE94F3C1}">
      <text>
        <r>
          <rPr>
            <b/>
            <sz val="9"/>
            <color indexed="81"/>
            <rFont val="Tahoma"/>
            <family val="2"/>
          </rPr>
          <t>A. Uslu:</t>
        </r>
        <r>
          <rPr>
            <sz val="9"/>
            <color indexed="81"/>
            <rFont val="Tahoma"/>
            <family val="2"/>
          </rPr>
          <t xml:space="preserve">
primaryand secondary froest residues</t>
        </r>
      </text>
    </comment>
  </commentList>
</comments>
</file>

<file path=xl/sharedStrings.xml><?xml version="1.0" encoding="utf-8"?>
<sst xmlns="http://schemas.openxmlformats.org/spreadsheetml/2006/main" count="1615" uniqueCount="480">
  <si>
    <t>GENERAL INSTRUCTIONS</t>
  </si>
  <si>
    <t>●</t>
  </si>
  <si>
    <t>The technology factsheet contains information about one specific option (e.g. capacity, potential, costs, energy and emission effects and supporting descriptions).</t>
  </si>
  <si>
    <t>The factsheet must be filled-in by the technical experts in the technology field and used as a reference internally (i.e.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</si>
  <si>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</si>
  <si>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</si>
  <si>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</si>
  <si>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Units and conversion factors are found below.</t>
  </si>
  <si>
    <t>Lists of sectors, units, energy carriers, etc. are found in the 'List' tab.</t>
  </si>
  <si>
    <t>The 'Factsheet' and 'List' tabs are locked. If a change is necessary, please send a request to Silvana Gamboa or Koen Smekens.</t>
  </si>
  <si>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</si>
  <si>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</si>
  <si>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</si>
  <si>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</si>
  <si>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</si>
  <si>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</si>
  <si>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</si>
  <si>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</si>
  <si>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</si>
  <si>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</si>
  <si>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</si>
  <si>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</si>
  <si>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</si>
  <si>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</si>
  <si>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</si>
  <si>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</si>
  <si>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</si>
  <si>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</si>
  <si>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</si>
  <si>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</si>
  <si>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</si>
  <si>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</si>
  <si>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</si>
  <si>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</si>
  <si>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</si>
  <si>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</si>
  <si>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</si>
  <si>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</si>
  <si>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</si>
  <si>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</si>
  <si>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</si>
  <si>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</si>
  <si>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</si>
  <si>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</si>
  <si>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</si>
  <si>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</si>
  <si>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</si>
  <si>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</si>
  <si>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</si>
  <si>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</si>
  <si>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</si>
  <si>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</si>
  <si>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</si>
  <si>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</si>
  <si>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</si>
  <si>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</si>
  <si>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</si>
  <si>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</si>
  <si>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</si>
  <si>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</si>
  <si>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</si>
  <si>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</si>
  <si>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</si>
  <si>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</si>
  <si>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</si>
  <si>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</si>
  <si>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</si>
  <si>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</si>
  <si>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</si>
  <si>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</si>
  <si>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</si>
  <si>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</si>
  <si>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</si>
  <si>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</si>
  <si>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</si>
  <si>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</si>
  <si>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</si>
  <si>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</si>
  <si>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</si>
  <si>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</si>
  <si>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</si>
  <si>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</si>
  <si>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</si>
  <si>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</si>
  <si>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</si>
  <si>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</si>
  <si>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</si>
  <si>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</si>
  <si>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</si>
  <si>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</si>
  <si>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</si>
  <si>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</si>
  <si>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</si>
  <si>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The investments costs are in the case of a new application of the technology. This includes purchase costs, construction costs, net equipment costs and installation costs. It also includes demolition and removal costs of decommissioned installations.</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</si>
  <si>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</si>
  <si>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</si>
  <si>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</si>
  <si>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t>
  </si>
  <si>
    <t>Please specify Other costs within the Costs explanation box.</t>
  </si>
  <si>
    <t>Data input same as above.</t>
  </si>
  <si>
    <t xml:space="preserve">Fixed operational costs (excluding fuel costs) </t>
  </si>
  <si>
    <t>Fixed operational costs are per year.</t>
  </si>
  <si>
    <t>Variable costs</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</si>
  <si>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</si>
  <si>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</si>
  <si>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</si>
  <si>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</si>
  <si>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</si>
  <si>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</si>
  <si>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for inputs should be expressed as positive and values for outputs should be expressed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</si>
  <si>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</si>
  <si>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</si>
  <si>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</si>
  <si>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</si>
  <si>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</si>
  <si>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</si>
  <si>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</si>
  <si>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</si>
  <si>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</si>
  <si>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</si>
  <si>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REFERENCES AND SOURCES</t>
  </si>
  <si>
    <t>For values: Add references for each value in their 'Reference' cell (i.e. author and year) and aggregate all references with complete description at the bottom of the 'Data input' tab. If more than 10 references, add other sources under 'Others' box.</t>
  </si>
  <si>
    <t>For other data: Add all data sources with complete description at the bottom of the 'Data input' tab.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</si>
  <si>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</si>
  <si>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</si>
  <si>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</si>
  <si>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</si>
  <si>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</si>
  <si>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</si>
  <si>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</si>
  <si>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</si>
  <si>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</si>
  <si>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</si>
  <si>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</si>
  <si>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</si>
  <si>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</si>
  <si>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</si>
  <si>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</si>
  <si>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</si>
  <si>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</si>
  <si>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</si>
  <si>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</si>
  <si>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</si>
  <si>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</si>
  <si>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</si>
  <si>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</si>
  <si>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</si>
  <si>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</si>
  <si>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</si>
  <si>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</si>
  <si>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</si>
  <si>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</si>
  <si>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</si>
  <si>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</si>
  <si>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</si>
  <si>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</si>
  <si>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</si>
  <si>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</si>
  <si>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</si>
  <si>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</si>
  <si>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FACTSHEET DATA INPUT</t>
  </si>
  <si>
    <t>Please fill-in here all technology option data including detailed references and sources at the bottom.</t>
  </si>
  <si>
    <t>TECHNOLOGY DESCRIPTION</t>
  </si>
  <si>
    <t>Name of technology option</t>
  </si>
  <si>
    <t>Anaerobic digestion of wet biomass for combined heat and power (CHP) generation</t>
  </si>
  <si>
    <t>Date of factsheet</t>
  </si>
  <si>
    <t>Refers to all residues from food and beverage industry, biodegradable waste, residues from biofuel installations, fruit, vegetable and garden wastes and the organic faction of municipal wastes. Thus, it covers the sectors industry, households and agriculture.</t>
  </si>
  <si>
    <t>Non-ETS</t>
  </si>
  <si>
    <t>Biomass</t>
  </si>
  <si>
    <t xml:space="preserve">Wet biomass in this category refers to organic wastes such as residual flows from the food and beverage industry, vegetable, fruit and garden wastes, or organic wet faction of household wastes. The residual flows are mentioned in the NTA8003 and published by the Netherlands Standardization Institute. For this category, a minimum biogas production of 25 Nm3 (natural gas equivalent) for tonne feedstock is requested. Manure is not included in this category. 
The biomass is digested in a state-of the-art anaerobic digestion installation to produce biogas. The installation consists of storage and pre-treatment, digestion installations, combustion of biogas and post treatment and storage of digestate (i.e. dewatering, drying, in some cases hygenisation and storage). On average, the residence time of the organic waste in the fermenter is around 30 days and biogas is produced. 
Biogas consists mainly of methane (in average 60%) and carbon dioxide (33-38%) in addition to contaminants such as sulphur, water vapor and oxygen. The biogas is desulfurized prior to it being fed into a gas motor to produce heat and electricity. The Activities Decree on emissions for combustion plants requires that the gas motors comply with the emission limits for SO2 and NOx. </t>
  </si>
  <si>
    <t>TRL level 2020</t>
  </si>
  <si>
    <t xml:space="preserve">Anaerobic digestion technology and CHP are widely applied commercial technologies. </t>
  </si>
  <si>
    <t>MWth</t>
  </si>
  <si>
    <t>Functional Unit</t>
  </si>
  <si>
    <t>Main Source</t>
  </si>
  <si>
    <t>Source 2</t>
  </si>
  <si>
    <t>Source 3</t>
  </si>
  <si>
    <t>Source 4</t>
  </si>
  <si>
    <t>Source 5</t>
  </si>
  <si>
    <t>5.5</t>
  </si>
  <si>
    <t>SDE+2019</t>
  </si>
  <si>
    <t>Reference</t>
  </si>
  <si>
    <t>Context</t>
  </si>
  <si>
    <t>2020 (Current)</t>
  </si>
  <si>
    <t>Please select the region</t>
  </si>
  <si>
    <t>DNV, 2017</t>
  </si>
  <si>
    <t>Elbersen et al, 2015</t>
  </si>
  <si>
    <t>Routekaart Hernieuwbaar gas, 2014</t>
  </si>
  <si>
    <t>Market share</t>
  </si>
  <si>
    <t>%</t>
  </si>
  <si>
    <t>Specify here the market</t>
  </si>
  <si>
    <t>Specify here (if not specified, value will be 1)</t>
  </si>
  <si>
    <t>Please select</t>
  </si>
  <si>
    <t>Specify here</t>
  </si>
  <si>
    <t>Explanation</t>
  </si>
  <si>
    <t>The capacity and the potential refers to MWth biogas. Thus, the potential is presented as biogas potential of organic waste streams (excluding manure) and it is the same for all  digestion related pathways, excluding manure digestion. The potential above refers to the total biogas potential from VGI, GFT&amp;ONF, straw, other agricultural residues and energy crops. DNV GL defines the potential for 2023 and 2035. The 2023 data is presented as 2020 and 2035 data as 2030 potential. Aquatic biomass potential is not included in the figures. Elbersen et al (2015) also do not include aquatic biomass. Routekaart Hernieuwbaar Gas report considers a small value (0,1 PJ biogas) for seaweed in 2020 increasing to 16.7 PJ in 2030.  DNV GL (2017) indicates  aquatic biomass potential to be around 18PJ in 2023, increasing to  53 PJ in 2030.
The wet biomass potential ratio among the sectors industry, households and  agriculture  are  38%, 36%, 26% in 2020 and 34%, 32%, 34% in 2030, respectively.  </t>
  </si>
  <si>
    <t>COSTS</t>
  </si>
  <si>
    <t>Reference year: €2015 - If amounts are expressed in other currencies or in euros of another year (e.g. €2014), the amount has to be converted. See conversion method in 'READ ME' tab.</t>
  </si>
  <si>
    <t xml:space="preserve">mln. € / </t>
  </si>
  <si>
    <t>ETRI, min</t>
  </si>
  <si>
    <t>ETRI, max</t>
  </si>
  <si>
    <t>SDE data based on ETRI cost reduction</t>
  </si>
  <si>
    <t>SDE data based on ETRI cost reduction ratios</t>
  </si>
  <si>
    <t>ETRI min</t>
  </si>
  <si>
    <t>ETRI max</t>
  </si>
  <si>
    <t>Other costs per year</t>
  </si>
  <si>
    <t>Fixed operational costs per year (excl. fuel costs)</t>
  </si>
  <si>
    <t>Variable costs per year</t>
  </si>
  <si>
    <t xml:space="preserve">SDE+ </t>
  </si>
  <si>
    <t>Costs explanation</t>
  </si>
  <si>
    <t xml:space="preserve">MWth refers to MWth input. The costs data are converted to 2015 as they were from 2018. 
Potential cost reductions are based on the  ETRI database. ETRI indicates cost reduction for anaerobic digestion installations  to be in the range of 2,1%-0,5% per year for the first 5 years and 0,1-0,6% per year for the following years. We apply the baseline cost reduction rates of ETRI. 
It is important to highlight that ETRI neither distinguishes between different digestion options nor explains how the CAPEX were determined. Therefore it is not possible to clarify why this dataset presents higher figures.  Next to that they only refer to anaerobic digestion related CAPEX and OPEX, whereas SDE+ data also include cost of a gas motor. Therefore a direct comparison of the datasets are not possible. </t>
  </si>
  <si>
    <t xml:space="preserve">Values for inputs are expressed as positive and values for outputs as negative. </t>
  </si>
  <si>
    <t>Energy carrier</t>
  </si>
  <si>
    <t>Unit</t>
  </si>
  <si>
    <t>Energy carriers (per unit of main output)</t>
  </si>
  <si>
    <t>Electricity</t>
  </si>
  <si>
    <t>Heat</t>
  </si>
  <si>
    <t>Biogas (wet streams)</t>
  </si>
  <si>
    <t>Energy in- and Outputs explanation</t>
  </si>
  <si>
    <t>In SDE+ the generic energy content of the wet biomass is assumed as 3,4 GJ/ton. Roughly 5% of biogas is used to meet the internal heat demand. The electricity demand refers to the electricity needed for the digestion process.</t>
  </si>
  <si>
    <t>MATERIAL FLOWS (OPTIONAL)</t>
  </si>
  <si>
    <t>Material flows</t>
  </si>
  <si>
    <t>Material</t>
  </si>
  <si>
    <t>Digestate</t>
  </si>
  <si>
    <t>% dry(volume)</t>
  </si>
  <si>
    <t>Material flows explanation</t>
  </si>
  <si>
    <t>Digestate can be: 
1) Composted in case the input stream consists of GFT (vegetables, fruit and garden waste) and sold to be used on agricultural land when it complies with the conditions of the Fertilizer Act. It should include no animal manure to be classified as compost.
2) Further treated in case the waste stream is organic waste. The digestate treatment mainly consists of dewatering, drying and storage. The dried product can further be pelletized and become suitable as fuel (for instance for co-firing plant). An indicative price for this fuel can be around 35 Euro/ton.</t>
  </si>
  <si>
    <t>EMISSIONS (Non-fuel/energy-related emissions or emissions reductions (e.g. CCS)</t>
  </si>
  <si>
    <t>Substance</t>
  </si>
  <si>
    <t>Emissions explanation</t>
  </si>
  <si>
    <t>Explain here (e.g. emission factors if calculated)</t>
  </si>
  <si>
    <t>OTHER</t>
  </si>
  <si>
    <t>Other</t>
  </si>
  <si>
    <t>SDE+ Eindadvies 2019</t>
  </si>
  <si>
    <t>DNV GL, 2017. Biomassapotentieel in Nederland. Verkennende studie naar vrij beschikbaar biomassapotentieel voor energieopwekking in Nederland. Paula Schulze, Johan Holstein, Harm Vlap. GCS.17.R.10032629.2</t>
  </si>
  <si>
    <t>ETRI study, 2018. Cost development of low carbon energy technologies. Scenario-based cost trajectories to 2050, 2017 edition.</t>
  </si>
  <si>
    <t>Elbersen et al., 2015. Biomass potential in the Netherlands (as part of the Biomass Policies project, co-funded by the EC). </t>
  </si>
  <si>
    <t>Routekaart Hernieuwbaar Gas, 2014. See https://groengas.nl/wp-content/uploads/2015/07/Routekaart-hernieuwbaar-gas.pdf</t>
  </si>
  <si>
    <t>Decision related to change of Activiteitenbesluit milieubeheer. See https://zoek.officielebekendmakingen.nl/stb-2017-330.html</t>
  </si>
  <si>
    <t>Others</t>
  </si>
  <si>
    <t>Add other sources here</t>
  </si>
  <si>
    <t>TECHNOLOGY FACTSHEET</t>
  </si>
  <si>
    <t>ANAEROBIC DIGESTION OF WET BIOMASS FOR COMBINED HEAT AND POWER (CHP) GENERATION</t>
  </si>
  <si>
    <t>Author</t>
  </si>
  <si>
    <t>Ayla Uslu</t>
  </si>
  <si>
    <t>Electricity and heat generation</t>
  </si>
  <si>
    <t>Value and Range</t>
  </si>
  <si>
    <t>-</t>
  </si>
  <si>
    <t>Current</t>
  </si>
  <si>
    <t>Capacity utlization factor</t>
  </si>
  <si>
    <t>Euro per Functional Unit</t>
  </si>
  <si>
    <t xml:space="preserve">Fixed operational costs per year               (excl. fuel costs) </t>
  </si>
  <si>
    <t>Main output:</t>
  </si>
  <si>
    <t xml:space="preserve"> </t>
  </si>
  <si>
    <t>Sectors:</t>
  </si>
  <si>
    <t>Type of Technology:</t>
  </si>
  <si>
    <t>Functional Units Capacity:</t>
  </si>
  <si>
    <t>Functional Units Activity:</t>
  </si>
  <si>
    <t xml:space="preserve">Energy carriers: </t>
  </si>
  <si>
    <t>Energy Carriers Units:</t>
  </si>
  <si>
    <t>Material flows:</t>
  </si>
  <si>
    <t>Emissions:</t>
  </si>
  <si>
    <t>Emissions Units:</t>
  </si>
  <si>
    <t>Please select main output here</t>
  </si>
  <si>
    <t>ETS</t>
  </si>
  <si>
    <t>Agriculture: Horticulture</t>
  </si>
  <si>
    <t>Bln vehicle - km/year</t>
  </si>
  <si>
    <t>Ambient heat</t>
  </si>
  <si>
    <t>CH4</t>
  </si>
  <si>
    <t>Agriculture: Other</t>
  </si>
  <si>
    <t>CCS</t>
  </si>
  <si>
    <t>PJ/year</t>
  </si>
  <si>
    <t>Biobenzine</t>
  </si>
  <si>
    <t>Add here -&gt;</t>
  </si>
  <si>
    <t>CO2</t>
  </si>
  <si>
    <t>Electricity generation</t>
  </si>
  <si>
    <t>Emission reduction</t>
  </si>
  <si>
    <t>kton/year</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</si>
  <si>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</si>
  <si>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</si>
  <si>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</si>
  <si>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</si>
  <si>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</si>
  <si>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</si>
  <si>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</si>
  <si>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</si>
  <si>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</si>
  <si>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</si>
  <si>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</si>
  <si>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</si>
  <si>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</si>
  <si>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</si>
  <si>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</si>
  <si>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</si>
  <si>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</si>
  <si>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</si>
  <si>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</si>
  <si>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</si>
  <si>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</si>
  <si>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</si>
  <si>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</si>
  <si>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</si>
  <si>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</si>
  <si>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Industry: Chemics</t>
  </si>
  <si>
    <t>Storage</t>
  </si>
  <si>
    <t>Biomass (coferment)</t>
  </si>
  <si>
    <t>NH3</t>
  </si>
  <si>
    <t>NL</t>
  </si>
  <si>
    <t>Industry: Construction</t>
  </si>
  <si>
    <t xml:space="preserve">Electrolysis </t>
  </si>
  <si>
    <t>Biomass (GFT &amp; VGI)</t>
  </si>
  <si>
    <t>NMVOS</t>
  </si>
  <si>
    <t>EU</t>
  </si>
  <si>
    <t>Industry: Fertiliser</t>
  </si>
  <si>
    <t>Biomass (high quality)</t>
  </si>
  <si>
    <t>NOx</t>
  </si>
  <si>
    <t>Global</t>
  </si>
  <si>
    <t>Industry: Generic</t>
  </si>
  <si>
    <t>Biomass (manure)</t>
  </si>
  <si>
    <t>Industry: Iron and steel</t>
  </si>
  <si>
    <t>Biomass (starch)</t>
  </si>
  <si>
    <t>Industry: Non ETS</t>
  </si>
  <si>
    <t>Biomass (sugars)</t>
  </si>
  <si>
    <t>Industry: Petrochemics</t>
  </si>
  <si>
    <t>Biomass (waste biogenic)</t>
  </si>
  <si>
    <t>Mobile machinery</t>
  </si>
  <si>
    <t>Biomass (wet streams)</t>
  </si>
  <si>
    <t>Refineries</t>
  </si>
  <si>
    <t>Biomass (wood abroad)</t>
  </si>
  <si>
    <t>Trade, services and utilities</t>
  </si>
  <si>
    <t>Biomass (wood interior)</t>
  </si>
  <si>
    <t>Transport</t>
  </si>
  <si>
    <t>Biomass (wood)</t>
  </si>
  <si>
    <t>Bio-waste gases</t>
  </si>
  <si>
    <t>Blast furnace gas</t>
  </si>
  <si>
    <t>CCF gas</t>
  </si>
  <si>
    <t>Chemical residual gas</t>
  </si>
  <si>
    <t>Coal</t>
  </si>
  <si>
    <t>Coke</t>
  </si>
  <si>
    <t>Coke oven gas</t>
  </si>
  <si>
    <t>Coking coal</t>
  </si>
  <si>
    <t>Diesel</t>
  </si>
  <si>
    <t>Energy content manure</t>
  </si>
  <si>
    <t>Fermentation gas</t>
  </si>
  <si>
    <t>Gasoline</t>
  </si>
  <si>
    <t>Geothermal 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</si>
  <si>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</si>
  <si>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</si>
  <si>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</si>
  <si>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</si>
  <si>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</si>
  <si>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</si>
  <si>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</si>
  <si>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</si>
  <si>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</si>
  <si>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</si>
  <si>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</si>
  <si>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</si>
  <si>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</si>
  <si>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</si>
  <si>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</si>
  <si>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</si>
  <si>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</si>
  <si>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</si>
  <si>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</si>
  <si>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</si>
  <si>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</si>
  <si>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</si>
  <si>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</si>
  <si>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</si>
  <si>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</si>
  <si>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</si>
  <si>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</si>
  <si>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Other gases</t>
  </si>
  <si>
    <t>Propane</t>
  </si>
  <si>
    <t>SNG</t>
  </si>
  <si>
    <t>Steam</t>
  </si>
  <si>
    <t>CPI from CBS</t>
  </si>
  <si>
    <t>January</t>
  </si>
  <si>
    <t>February</t>
  </si>
  <si>
    <t>March</t>
  </si>
  <si>
    <t>April</t>
  </si>
  <si>
    <t xml:space="preserve">May </t>
  </si>
  <si>
    <t>June</t>
  </si>
  <si>
    <t>July</t>
  </si>
  <si>
    <t>PJ biogas</t>
  </si>
  <si>
    <t>MWh</t>
  </si>
  <si>
    <t>DNVI, 2023</t>
  </si>
  <si>
    <t>Biogas potential is calculatd using 60%. DNV present the primary potential</t>
  </si>
  <si>
    <t>Elbersen et al, 2020</t>
  </si>
  <si>
    <t>DVI 2030</t>
  </si>
  <si>
    <t>Elbersen, 2030</t>
  </si>
  <si>
    <t>Routekaart 2020</t>
  </si>
  <si>
    <t>Routekaart 2030</t>
  </si>
  <si>
    <t>SDE+</t>
  </si>
  <si>
    <t>factsheet</t>
  </si>
  <si>
    <t>biogas input</t>
  </si>
  <si>
    <t>kWth</t>
  </si>
  <si>
    <t>Greengas production capacity</t>
  </si>
  <si>
    <t>manure input</t>
  </si>
  <si>
    <t>ton/year</t>
  </si>
  <si>
    <t>CH4 saving</t>
  </si>
  <si>
    <t>ton</t>
  </si>
  <si>
    <t>Based on an inventory of previously carried out biomass and / or green gas potential studies, an estimate was made for each subcategory of the "total" and "freely available" biomass potential for the years 2023 and 2035 and a comparison was made with the current use of these biomass flows.</t>
  </si>
  <si>
    <t xml:space="preserve">Freely available biomass in the Netherlands.  The reported potential of biomass is indicated in PJ primary energy (HHV) of the biomass (ie not of any biogas produced). ?? If not stated otherwise, for the conversion of m³ biogas to PJ primary energy of biomass it is assumed that 1 m³ biogas contains 55% methane, so an energy content of 21 MJ (HHV) has </t>
  </si>
  <si>
    <r>
      <t xml:space="preserve">Elbersen defines the potential as "" net potentials, so excluding known competing uses (e.g. converted to feed or compost), </t>
    </r>
    <r>
      <rPr>
        <u/>
        <sz val="12"/>
        <color theme="1"/>
        <rFont val="Calibri"/>
        <family val="2"/>
        <scheme val="minor"/>
      </rPr>
      <t>but including the share of the potential already going to energy generation</t>
    </r>
    <r>
      <rPr>
        <sz val="12"/>
        <color theme="1"/>
        <rFont val="Calibri"/>
        <family val="2"/>
        <scheme val="minor"/>
      </rPr>
      <t>."</t>
    </r>
  </si>
  <si>
    <t>DHV.2017</t>
  </si>
  <si>
    <t>Elbersen, 2015</t>
  </si>
  <si>
    <t>DHV, 2017</t>
  </si>
  <si>
    <t>Expl</t>
  </si>
  <si>
    <t>biogas potential (routekaart groengas)</t>
  </si>
  <si>
    <t>WET Biomass</t>
  </si>
  <si>
    <t>VGI</t>
  </si>
  <si>
    <t>Voor het bepalen van het totale potentieel is uitgegaan van 8.100 kton restproducten per jaar met een
gemiddelde DS-gehalte van 25% en een energie-inhoud van 17,4 MJ/kg DS.</t>
  </si>
  <si>
    <t>RWZI/AWZI-slib</t>
  </si>
  <si>
    <t>Agricultural residues</t>
  </si>
  <si>
    <t>Mest total</t>
  </si>
  <si>
    <t>To determine the total potential, it was assumed that the availability of manure remains constant. However, there are plans to reduce the livestock population (and with this the production of manure) because the Netherlands currently produces more phosphate than is permitted by law (manure surplus). The methane emissions from livestock will also have to be reduced over time, which will become a limiting factor for the size of the livestock. This does not affect the freely available potential; the total potential has been calculated by DNVGL on the basis of the current manure production, but the freely available potential has been taken over from existing study that assumed a smaller number of livestock in their scenarios. There is therefore no direct link between total potential and freely available potential for agricultural residual flows in this study.</t>
  </si>
  <si>
    <t>straw &amp; other organic resdiues from agriculture</t>
  </si>
  <si>
    <t>GFT &amp;ONF</t>
  </si>
  <si>
    <t>energy mize</t>
  </si>
  <si>
    <t>DRY Biomass</t>
  </si>
  <si>
    <t>waste wood and paper residues</t>
  </si>
  <si>
    <t>waste wood</t>
  </si>
  <si>
    <t>paper resdiues</t>
  </si>
  <si>
    <t>forestry</t>
  </si>
  <si>
    <t>nature and landscape management (wood)</t>
  </si>
  <si>
    <t>pruniing/cuttings permamnt crops(fruit trees)</t>
  </si>
  <si>
    <t>MSW (organic faction)</t>
  </si>
  <si>
    <t>woody/ligno crops</t>
  </si>
  <si>
    <t>roadside verge gra</t>
  </si>
  <si>
    <t>Aquatic biomass</t>
  </si>
  <si>
    <t>sum</t>
  </si>
  <si>
    <t>Industry</t>
  </si>
  <si>
    <t>household</t>
  </si>
  <si>
    <t>agriculture</t>
  </si>
  <si>
    <t>DHV GL, 2017</t>
  </si>
  <si>
    <t>Biomassapotentieel in Nederland. Verkennende studie naar vrij beschikbaar biomassapotentieel voor energieopwekking in Nederland. 2017. Paula Schulze, Johan Holstein, Harm Vlap</t>
  </si>
  <si>
    <t>cost reduction</t>
  </si>
  <si>
    <t>Capital investment cost trajectories of anaerobic digestion plants</t>
  </si>
  <si>
    <t>2020-2015</t>
  </si>
  <si>
    <t>2030-2020</t>
  </si>
  <si>
    <t>2040-2030</t>
  </si>
  <si>
    <t>2050-2040</t>
  </si>
  <si>
    <t>per year</t>
  </si>
  <si>
    <t>Capital investment costs</t>
  </si>
  <si>
    <t>Baseline</t>
  </si>
  <si>
    <t>EUR 2015/kW</t>
  </si>
  <si>
    <t>Diversified</t>
  </si>
  <si>
    <t>ProRES</t>
  </si>
  <si>
    <t>Min</t>
  </si>
  <si>
    <t>Max</t>
  </si>
  <si>
    <t>O&amp;M costs</t>
  </si>
  <si>
    <r>
      <t>%</t>
    </r>
    <r>
      <rPr>
        <vertAlign val="subscript"/>
        <sz val="10"/>
        <color rgb="FF000000"/>
        <rFont val="Verdana"/>
        <family val="2"/>
      </rPr>
      <t>CAPEX</t>
    </r>
  </si>
  <si>
    <t>average min-max</t>
  </si>
  <si>
    <t>3100/</t>
  </si>
  <si>
    <t xml:space="preserve">kWth </t>
  </si>
  <si>
    <t>The capacity and the potential refers to kWth biogas. Thus, the potential is presented as biogas potential of organic waste streams (excluding manure) and it is the same for all  digestion related pathways, excluding manure digestion. The potential above refers to the total biogas potential from VGI, GFT&amp;ONF, straw, other agricultural residues and energy crops. DNV GL defines the potential for 2023 and 2035. The 2023 data is presented as 2020 and 2035 data as 2030 potential. Aquatic biomass potential is not included in the figures. Elbersen et al (2015) also do not include aquatic biomass. Routekaart Hernieuwbaar Gas report considers a small value (0,1 PJ biogas) for seaweed in 2020 increasing to 16.7 PJ in 2030.  DNV GL (2017) indicates  aquatic biomass potential to be around 18PJ in 2023, increasing to  53 PJ in 2030.
The wet biomass potential ratio among the sectors industry, households and  agriculture  are  38%, 36%, 26% in 2020 and 34%, 32%, 34% in 2030, respectively.  </t>
  </si>
  <si>
    <t xml:space="preserve">€ / </t>
  </si>
  <si>
    <t xml:space="preserve">kWth refers to kWth input. The costs data are converted to 2015 as they were from 2018. 
Potential cost reductions are based on the  ETRI database. ETRI indicates cost reduction for anaerobic digestion installations  to be in the range of 2,1%-0,5% per year for the first 5 years and 0,1-0,6% per year for the following years. We apply the baseline cost reduction rates of ETRI. 
It is important to highlight that ETRI neither distinguishes between different digestion options nor explains how the CAPEX were determined. Therefore it is not possible to clarify why this dataset presents higher figures.  Next to that they only refer to anaerobic digestion related CAPEX and OPEX, whereas SDE+ data also include cost of a gas motor. Therefore a direct comparison of the datasets are not possible. </t>
  </si>
  <si>
    <t xml:space="preserve"> € / </t>
  </si>
  <si>
    <t>Date</t>
  </si>
  <si>
    <t>Parameter</t>
  </si>
  <si>
    <t>Old</t>
  </si>
  <si>
    <t>New</t>
  </si>
  <si>
    <t>Comment</t>
  </si>
  <si>
    <t>Capacity unit</t>
  </si>
  <si>
    <t>capacicity value updated to new unit</t>
  </si>
  <si>
    <t>Potential unit</t>
  </si>
  <si>
    <t>Potential values uptaed to new values</t>
  </si>
  <si>
    <t>Costs unit</t>
  </si>
  <si>
    <t>mln. € / MWth</t>
  </si>
  <si>
    <t>€ / kWth</t>
  </si>
  <si>
    <t>Updated also in the Technology Factsheet tab, all values updated to new units</t>
  </si>
  <si>
    <t>Investment costs min and max values</t>
  </si>
  <si>
    <t>All values changed into new units</t>
  </si>
  <si>
    <t>Inputs and outputs decimals</t>
  </si>
  <si>
    <t>Checked and number of decimals reduced</t>
  </si>
  <si>
    <t>CO2 emissions, decimals</t>
  </si>
  <si>
    <t xml:space="preserve">Decimals checked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</si>
</sst>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_ * #,##0_ ;_ * \-#,##0_ ;_ * &quot;-&quot;??_ ;_ @_ "/>
    <numFmt numFmtId="166" formatCode="0.000000000000000"/>
    <numFmt numFmtId="167" formatCode="0.0"/>
  </numFmts>
  <fonts count="57" x14ac:knownFonts="1">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sz val="8"/>
      <color rgb="FF000000"/>
      <name val="Verdana"/>
      <family val="2"/>
    </font>
    <font>
      <sz val="12"/>
      <color theme="1"/>
      <name val="Times New Roman"/>
      <family val="1"/>
    </font>
    <font>
      <u/>
      <sz val="12"/>
      <color theme="1"/>
      <name val="Calibri"/>
      <family val="2"/>
      <scheme val="minor"/>
    </font>
    <font>
      <b/>
      <i/>
      <sz val="12"/>
      <color rgb="FFFF0000"/>
      <name val="Calibri"/>
      <family val="2"/>
      <scheme val="minor"/>
    </font>
    <font>
      <b/>
      <sz val="12"/>
      <color rgb="FFFF0000"/>
      <name val="Calibri"/>
      <family val="2"/>
      <scheme val="minor"/>
    </font>
    <font>
      <b/>
      <i/>
      <sz val="12"/>
      <color theme="1"/>
      <name val="Calibri"/>
      <family val="2"/>
      <scheme val="minor"/>
    </font>
    <font>
      <b/>
      <sz val="9"/>
      <color indexed="81"/>
      <name val="Tahoma"/>
      <family val="2"/>
    </font>
    <font>
      <sz val="9"/>
      <color indexed="81"/>
      <name val="Tahoma"/>
      <family val="2"/>
    </font>
    <font>
      <b/>
      <sz val="10"/>
      <color rgb="FFFFFFFF"/>
      <name val="Verdana"/>
      <family val="2"/>
    </font>
    <font>
      <sz val="10"/>
      <color rgb="FF000000"/>
      <name val="Verdana"/>
      <family val="2"/>
    </font>
    <font>
      <vertAlign val="subscript"/>
      <sz val="10"/>
      <color rgb="FF000000"/>
      <name val="Verdana"/>
      <family val="2"/>
    </font>
    <font>
      <sz val="12"/>
      <color theme="1" tint="0.34998626667073579"/>
      <name val="Calibri"/>
      <family val="2"/>
      <scheme val="minor"/>
    </font>
    <font>
      <b/>
      <sz val="16"/>
      <color theme="0"/>
      <name val="Calibri"/>
      <family val="2"/>
    </font>
  </fonts>
  <fills count="18">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BBB59"/>
        <bgColor indexed="64"/>
      </patternFill>
    </fill>
    <fill>
      <patternFill patternType="solid">
        <fgColor rgb="FFCDDDAC"/>
        <bgColor indexed="64"/>
      </patternFill>
    </fill>
    <fill>
      <patternFill patternType="solid">
        <fgColor rgb="FFE6EED5"/>
        <bgColor indexed="64"/>
      </patternFill>
    </fill>
    <fill>
      <patternFill patternType="solid">
        <fgColor theme="4" tint="-0.249977111117893"/>
        <bgColor indexed="64"/>
      </patternFill>
    </fill>
  </fills>
  <borders count="73">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top style="medium">
        <color auto="1"/>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medium">
        <color rgb="FFFFFFFF"/>
      </left>
      <right style="medium">
        <color rgb="FFCCCCCC"/>
      </right>
      <top/>
      <bottom style="medium">
        <color rgb="FFFFFFFF"/>
      </bottom>
      <diagonal/>
    </border>
    <border>
      <left/>
      <right style="medium">
        <color rgb="FFCCCCCC"/>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thick">
        <color rgb="FFFFFFFF"/>
      </right>
      <top style="thick">
        <color rgb="FFFFFFFF"/>
      </top>
      <bottom/>
      <diagonal/>
    </border>
    <border>
      <left style="medium">
        <color rgb="FFFFFFFF"/>
      </left>
      <right style="medium">
        <color rgb="FFFFFFFF"/>
      </right>
      <top style="thick">
        <color rgb="FFFFFFFF"/>
      </top>
      <bottom/>
      <diagonal/>
    </border>
    <border>
      <left style="medium">
        <color rgb="FFFFFFFF"/>
      </left>
      <right style="thick">
        <color rgb="FFFFFFFF"/>
      </right>
      <top/>
      <bottom/>
      <diagonal/>
    </border>
    <border>
      <left style="medium">
        <color rgb="FFFFFFFF"/>
      </left>
      <right style="medium">
        <color rgb="FFFFFFFF"/>
      </right>
      <top/>
      <bottom/>
      <diagonal/>
    </border>
    <border>
      <left style="medium">
        <color rgb="FFFFFFFF"/>
      </left>
      <right style="thick">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thick">
        <color rgb="FFFFFFFF"/>
      </right>
      <top style="medium">
        <color rgb="FFFFFFFF"/>
      </top>
      <bottom style="medium">
        <color rgb="FFFFFFFF"/>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4">
    <xf numFmtId="0" fontId="0" fillId="0" borderId="0"/>
    <xf numFmtId="0" fontId="22"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514">
    <xf numFmtId="0" fontId="0" fillId="0" borderId="0" xfId="0"/>
    <xf numFmtId="0" fontId="0" fillId="7" borderId="0" xfId="0" applyFill="1"/>
    <xf numFmtId="0" fontId="8" fillId="7" borderId="0" xfId="0" applyFont="1" applyFill="1"/>
    <xf numFmtId="0" fontId="9" fillId="7" borderId="0" xfId="0" applyFont="1" applyFill="1"/>
    <xf numFmtId="0" fontId="10" fillId="7" borderId="0" xfId="0" applyFont="1" applyFill="1"/>
    <xf numFmtId="0" fontId="0" fillId="7" borderId="0" xfId="0" applyFill="1" applyAlignment="1">
      <alignment horizontal="right"/>
    </xf>
    <xf numFmtId="0" fontId="5" fillId="7" borderId="0" xfId="0" applyFont="1" applyFill="1" applyAlignment="1">
      <alignment vertical="center" wrapText="1"/>
    </xf>
    <xf numFmtId="0" fontId="6" fillId="7" borderId="0" xfId="0" applyFont="1" applyFill="1" applyAlignment="1">
      <alignment vertical="center" wrapText="1"/>
    </xf>
    <xf numFmtId="0" fontId="4" fillId="7" borderId="18" xfId="0" applyFont="1" applyFill="1" applyBorder="1" applyAlignment="1">
      <alignment vertical="center" wrapText="1"/>
    </xf>
    <xf numFmtId="0" fontId="4" fillId="7" borderId="32" xfId="0" applyFont="1" applyFill="1" applyBorder="1" applyAlignment="1">
      <alignment vertical="center" wrapText="1"/>
    </xf>
    <xf numFmtId="0" fontId="4" fillId="7" borderId="21" xfId="0" applyFont="1" applyFill="1" applyBorder="1" applyAlignment="1">
      <alignment vertical="center" wrapText="1"/>
    </xf>
    <xf numFmtId="0" fontId="14" fillId="7" borderId="16" xfId="0" applyFont="1" applyFill="1" applyBorder="1" applyAlignment="1">
      <alignment horizontal="right"/>
    </xf>
    <xf numFmtId="0" fontId="14" fillId="7" borderId="46" xfId="0" applyFont="1" applyFill="1" applyBorder="1" applyAlignment="1">
      <alignment horizontal="right"/>
    </xf>
    <xf numFmtId="0" fontId="14" fillId="7" borderId="19" xfId="0" applyFont="1" applyFill="1" applyBorder="1" applyAlignment="1">
      <alignment horizontal="right"/>
    </xf>
    <xf numFmtId="0" fontId="14" fillId="7" borderId="22" xfId="0" applyFont="1" applyFill="1" applyBorder="1" applyAlignment="1">
      <alignment horizontal="right"/>
    </xf>
    <xf numFmtId="0" fontId="11" fillId="7" borderId="0" xfId="0" applyFont="1" applyFill="1"/>
    <xf numFmtId="0" fontId="15" fillId="7" borderId="0" xfId="0" applyFont="1" applyFill="1"/>
    <xf numFmtId="0" fontId="5" fillId="7" borderId="21" xfId="0" applyFont="1" applyFill="1" applyBorder="1" applyAlignment="1">
      <alignment vertical="top" wrapText="1"/>
    </xf>
    <xf numFmtId="0" fontId="5" fillId="7" borderId="18" xfId="0" applyFont="1" applyFill="1" applyBorder="1" applyAlignment="1">
      <alignment vertical="top" wrapText="1"/>
    </xf>
    <xf numFmtId="0" fontId="5" fillId="7" borderId="32" xfId="0" applyFont="1" applyFill="1" applyBorder="1" applyAlignment="1">
      <alignment vertical="top" wrapText="1"/>
    </xf>
    <xf numFmtId="0" fontId="5" fillId="7" borderId="46" xfId="0" applyFont="1" applyFill="1" applyBorder="1" applyAlignment="1">
      <alignment horizontal="right" vertical="top" wrapText="1"/>
    </xf>
    <xf numFmtId="0" fontId="17" fillId="7" borderId="22" xfId="0" applyFont="1" applyFill="1" applyBorder="1" applyAlignment="1">
      <alignment vertical="top" wrapText="1"/>
    </xf>
    <xf numFmtId="0" fontId="14" fillId="7" borderId="46" xfId="0" applyFont="1" applyFill="1" applyBorder="1" applyAlignment="1">
      <alignment horizontal="right" vertical="top"/>
    </xf>
    <xf numFmtId="0" fontId="5" fillId="7" borderId="18" xfId="0" applyFont="1" applyFill="1" applyBorder="1" applyAlignment="1">
      <alignment vertical="center" wrapText="1"/>
    </xf>
    <xf numFmtId="0" fontId="5" fillId="7" borderId="32" xfId="0" applyFont="1" applyFill="1" applyBorder="1" applyAlignment="1">
      <alignment vertical="center" wrapText="1"/>
    </xf>
    <xf numFmtId="0" fontId="4" fillId="7" borderId="32" xfId="0" applyFont="1" applyFill="1" applyBorder="1" applyAlignment="1">
      <alignment vertical="top" wrapText="1"/>
    </xf>
    <xf numFmtId="0" fontId="14" fillId="7" borderId="0" xfId="0" applyFont="1" applyFill="1" applyAlignment="1">
      <alignment horizontal="right"/>
    </xf>
    <xf numFmtId="0" fontId="14" fillId="7" borderId="17" xfId="0" applyFont="1" applyFill="1" applyBorder="1" applyAlignment="1">
      <alignment horizontal="right"/>
    </xf>
    <xf numFmtId="0" fontId="0" fillId="7" borderId="32" xfId="0" applyFill="1" applyBorder="1"/>
    <xf numFmtId="0" fontId="0" fillId="7" borderId="20" xfId="0" applyFill="1" applyBorder="1"/>
    <xf numFmtId="0" fontId="0" fillId="7" borderId="21" xfId="0" applyFill="1" applyBorder="1"/>
    <xf numFmtId="0" fontId="11" fillId="7" borderId="24" xfId="0" applyFont="1" applyFill="1" applyBorder="1"/>
    <xf numFmtId="0" fontId="11" fillId="7" borderId="45" xfId="0" applyFont="1" applyFill="1" applyBorder="1"/>
    <xf numFmtId="0" fontId="11" fillId="7" borderId="25" xfId="0" applyFont="1" applyFill="1" applyBorder="1"/>
    <xf numFmtId="0" fontId="14" fillId="7" borderId="22" xfId="0" applyFont="1" applyFill="1" applyBorder="1" applyAlignment="1">
      <alignment horizontal="right" vertical="top"/>
    </xf>
    <xf numFmtId="0" fontId="20" fillId="7" borderId="0" xfId="0" applyFont="1" applyFill="1"/>
    <xf numFmtId="0" fontId="14" fillId="7" borderId="16" xfId="0" applyFont="1" applyFill="1" applyBorder="1" applyAlignment="1">
      <alignment horizontal="right" vertical="top"/>
    </xf>
    <xf numFmtId="0" fontId="4" fillId="7" borderId="18" xfId="0" applyFont="1" applyFill="1" applyBorder="1" applyAlignment="1">
      <alignment vertical="top" wrapText="1"/>
    </xf>
    <xf numFmtId="0" fontId="19" fillId="7" borderId="0" xfId="0" applyFont="1" applyFill="1"/>
    <xf numFmtId="0" fontId="4" fillId="7" borderId="0" xfId="0" applyFont="1" applyFill="1" applyAlignment="1">
      <alignment vertical="center" wrapText="1"/>
    </xf>
    <xf numFmtId="0" fontId="4" fillId="7" borderId="17" xfId="0" applyFont="1" applyFill="1" applyBorder="1" applyAlignment="1">
      <alignment vertical="center" wrapText="1"/>
    </xf>
    <xf numFmtId="0" fontId="5" fillId="7" borderId="17" xfId="0" applyFont="1" applyFill="1" applyBorder="1" applyAlignment="1">
      <alignment vertical="top" wrapText="1"/>
    </xf>
    <xf numFmtId="0" fontId="5" fillId="7" borderId="0" xfId="0" applyFont="1" applyFill="1" applyAlignment="1">
      <alignment vertical="top" wrapText="1"/>
    </xf>
    <xf numFmtId="0" fontId="16" fillId="7" borderId="0" xfId="0" applyFont="1" applyFill="1" applyAlignment="1">
      <alignment vertical="top" wrapText="1"/>
    </xf>
    <xf numFmtId="0" fontId="4" fillId="7" borderId="17" xfId="0" applyFont="1" applyFill="1" applyBorder="1" applyAlignment="1">
      <alignment vertical="top" wrapText="1"/>
    </xf>
    <xf numFmtId="0" fontId="5" fillId="7" borderId="17" xfId="0" applyFont="1" applyFill="1" applyBorder="1" applyAlignment="1">
      <alignment vertical="center" wrapText="1"/>
    </xf>
    <xf numFmtId="0" fontId="0" fillId="7" borderId="46" xfId="0" applyFill="1" applyBorder="1"/>
    <xf numFmtId="0" fontId="0" fillId="7" borderId="19" xfId="0" applyFill="1" applyBorder="1"/>
    <xf numFmtId="0" fontId="14" fillId="7" borderId="19" xfId="0" applyFont="1" applyFill="1" applyBorder="1" applyAlignment="1">
      <alignment horizontal="right" vertical="top"/>
    </xf>
    <xf numFmtId="0" fontId="4" fillId="7" borderId="23" xfId="0" applyFont="1" applyFill="1" applyBorder="1" applyAlignment="1">
      <alignment vertical="center" wrapText="1"/>
    </xf>
    <xf numFmtId="0" fontId="5" fillId="7" borderId="23" xfId="0" applyFont="1" applyFill="1" applyBorder="1" applyAlignment="1">
      <alignment vertical="top" wrapText="1"/>
    </xf>
    <xf numFmtId="0" fontId="17" fillId="7" borderId="22" xfId="0" applyFont="1" applyFill="1" applyBorder="1" applyAlignment="1">
      <alignment vertical="center" wrapText="1"/>
    </xf>
    <xf numFmtId="0" fontId="18" fillId="7" borderId="21" xfId="0" applyFont="1" applyFill="1" applyBorder="1" applyAlignment="1">
      <alignment vertical="center" wrapText="1"/>
    </xf>
    <xf numFmtId="0" fontId="14" fillId="7" borderId="17" xfId="0" applyFont="1" applyFill="1" applyBorder="1" applyAlignment="1">
      <alignment horizontal="right" vertical="top"/>
    </xf>
    <xf numFmtId="0" fontId="4" fillId="7" borderId="21" xfId="0" applyFont="1" applyFill="1" applyBorder="1" applyAlignment="1">
      <alignment vertical="top" wrapText="1"/>
    </xf>
    <xf numFmtId="0" fontId="13" fillId="8" borderId="15" xfId="0" applyFont="1" applyFill="1" applyBorder="1"/>
    <xf numFmtId="0" fontId="6" fillId="7" borderId="20" xfId="0" applyFont="1" applyFill="1" applyBorder="1" applyAlignment="1">
      <alignment vertical="center" wrapText="1"/>
    </xf>
    <xf numFmtId="0" fontId="0" fillId="7" borderId="18" xfId="0" applyFill="1" applyBorder="1" applyAlignment="1">
      <alignment horizontal="left" vertical="center"/>
    </xf>
    <xf numFmtId="0" fontId="0" fillId="7" borderId="32" xfId="0" applyFill="1" applyBorder="1" applyAlignment="1">
      <alignment horizontal="left" vertical="center"/>
    </xf>
    <xf numFmtId="0" fontId="0" fillId="7" borderId="21" xfId="0" applyFill="1" applyBorder="1" applyAlignment="1">
      <alignment horizontal="left" vertical="center"/>
    </xf>
    <xf numFmtId="0" fontId="11" fillId="7" borderId="24" xfId="0" applyFont="1" applyFill="1" applyBorder="1" applyAlignment="1">
      <alignment vertical="top"/>
    </xf>
    <xf numFmtId="0" fontId="8" fillId="7" borderId="16" xfId="0" applyFont="1" applyFill="1" applyBorder="1"/>
    <xf numFmtId="0" fontId="0" fillId="7" borderId="18" xfId="0" applyFill="1" applyBorder="1" applyAlignment="1">
      <alignment vertical="center" wrapText="1"/>
    </xf>
    <xf numFmtId="0" fontId="8" fillId="7" borderId="46" xfId="0" applyFont="1" applyFill="1" applyBorder="1"/>
    <xf numFmtId="0" fontId="22" fillId="7" borderId="32" xfId="1" applyFill="1" applyBorder="1" applyAlignment="1">
      <alignment vertical="center"/>
    </xf>
    <xf numFmtId="0" fontId="0" fillId="7" borderId="32" xfId="0" applyFill="1" applyBorder="1" applyAlignment="1">
      <alignment vertical="center" wrapText="1"/>
    </xf>
    <xf numFmtId="0" fontId="0" fillId="7" borderId="32" xfId="0" applyFill="1" applyBorder="1" applyAlignment="1">
      <alignment horizontal="left" vertical="center" wrapText="1"/>
    </xf>
    <xf numFmtId="0" fontId="25" fillId="7" borderId="46" xfId="0" applyFont="1" applyFill="1" applyBorder="1" applyAlignment="1">
      <alignment vertical="center" wrapText="1"/>
    </xf>
    <xf numFmtId="0" fontId="25" fillId="7" borderId="45" xfId="0" applyFont="1" applyFill="1" applyBorder="1" applyAlignment="1">
      <alignment horizontal="left" vertical="center" wrapText="1"/>
    </xf>
    <xf numFmtId="0" fontId="27" fillId="7" borderId="45" xfId="0" applyFont="1" applyFill="1" applyBorder="1" applyAlignment="1">
      <alignment horizontal="left"/>
    </xf>
    <xf numFmtId="0" fontId="15" fillId="0" borderId="19" xfId="0" applyFont="1" applyBorder="1"/>
    <xf numFmtId="0" fontId="20" fillId="7" borderId="32" xfId="0" applyFont="1" applyFill="1" applyBorder="1" applyAlignment="1">
      <alignment vertical="center" wrapText="1"/>
    </xf>
    <xf numFmtId="0" fontId="3" fillId="0" borderId="0" xfId="0" applyFont="1"/>
    <xf numFmtId="0" fontId="33" fillId="7" borderId="0" xfId="0" applyFont="1" applyFill="1" applyAlignment="1" applyProtection="1">
      <alignment vertical="top" wrapText="1"/>
      <protection locked="0"/>
    </xf>
    <xf numFmtId="0" fontId="32" fillId="7" borderId="0" xfId="0" applyFont="1" applyFill="1" applyAlignment="1">
      <alignment vertical="center" wrapText="1"/>
    </xf>
    <xf numFmtId="0" fontId="31" fillId="7" borderId="0" xfId="0" applyFont="1" applyFill="1" applyAlignment="1">
      <alignment vertical="center" wrapText="1"/>
    </xf>
    <xf numFmtId="43" fontId="12" fillId="7" borderId="0" xfId="2" applyFont="1" applyFill="1" applyAlignment="1">
      <alignment vertical="center" wrapText="1"/>
    </xf>
    <xf numFmtId="0" fontId="12" fillId="7" borderId="0" xfId="0" applyFont="1" applyFill="1" applyAlignment="1">
      <alignment vertical="center" wrapText="1"/>
    </xf>
    <xf numFmtId="0" fontId="33" fillId="7" borderId="0" xfId="0" applyFont="1" applyFill="1" applyAlignment="1" applyProtection="1">
      <alignment vertical="center" wrapText="1"/>
      <protection locked="0"/>
    </xf>
    <xf numFmtId="0" fontId="20" fillId="0" borderId="0" xfId="0" applyFont="1"/>
    <xf numFmtId="0" fontId="34" fillId="0" borderId="15" xfId="0" applyFont="1" applyBorder="1" applyAlignment="1">
      <alignment horizontal="center" vertical="top" wrapText="1"/>
    </xf>
    <xf numFmtId="0" fontId="0" fillId="7" borderId="23" xfId="0" applyFill="1" applyBorder="1" applyAlignment="1">
      <alignment vertical="top"/>
    </xf>
    <xf numFmtId="0" fontId="4" fillId="7" borderId="26" xfId="0" applyFont="1" applyFill="1" applyBorder="1" applyAlignment="1">
      <alignment vertical="top" wrapText="1"/>
    </xf>
    <xf numFmtId="0" fontId="19" fillId="7" borderId="0" xfId="0" applyFont="1" applyFill="1" applyAlignment="1">
      <alignment vertical="top" wrapText="1"/>
    </xf>
    <xf numFmtId="0" fontId="0" fillId="7" borderId="22" xfId="0" applyFill="1" applyBorder="1" applyAlignment="1">
      <alignment vertical="top"/>
    </xf>
    <xf numFmtId="0" fontId="4" fillId="7" borderId="23" xfId="0" applyFont="1" applyFill="1" applyBorder="1" applyAlignment="1">
      <alignment vertical="top" wrapText="1"/>
    </xf>
    <xf numFmtId="0" fontId="0" fillId="7" borderId="21" xfId="0" applyFill="1" applyBorder="1" applyAlignment="1">
      <alignment vertical="top"/>
    </xf>
    <xf numFmtId="0" fontId="33" fillId="3" borderId="10" xfId="0" applyFont="1" applyFill="1" applyBorder="1" applyAlignment="1">
      <alignment vertical="center" wrapText="1"/>
    </xf>
    <xf numFmtId="0" fontId="33" fillId="3" borderId="13" xfId="0" applyFont="1" applyFill="1" applyBorder="1" applyAlignment="1">
      <alignment vertical="center" wrapText="1"/>
    </xf>
    <xf numFmtId="0" fontId="37" fillId="7" borderId="32" xfId="0" applyFont="1" applyFill="1" applyBorder="1" applyAlignment="1">
      <alignment vertical="center" wrapText="1"/>
    </xf>
    <xf numFmtId="43" fontId="36" fillId="10" borderId="15" xfId="2" applyFont="1" applyFill="1" applyBorder="1"/>
    <xf numFmtId="43" fontId="23" fillId="7" borderId="15" xfId="2" applyFont="1" applyFill="1" applyBorder="1"/>
    <xf numFmtId="43" fontId="23" fillId="10" borderId="15" xfId="2" applyFont="1" applyFill="1" applyBorder="1"/>
    <xf numFmtId="0" fontId="0" fillId="7" borderId="23" xfId="0" applyFill="1" applyBorder="1" applyAlignment="1">
      <alignment vertical="top" wrapText="1"/>
    </xf>
    <xf numFmtId="0" fontId="6" fillId="7" borderId="15" xfId="0" applyFont="1" applyFill="1" applyBorder="1" applyAlignment="1">
      <alignment vertical="top" wrapText="1"/>
    </xf>
    <xf numFmtId="0" fontId="4" fillId="7" borderId="0" xfId="0" applyFont="1" applyFill="1" applyAlignment="1">
      <alignment vertical="top"/>
    </xf>
    <xf numFmtId="0" fontId="0" fillId="7" borderId="0" xfId="0" applyFill="1" applyAlignment="1">
      <alignment vertical="top"/>
    </xf>
    <xf numFmtId="0" fontId="0" fillId="7" borderId="32" xfId="0" applyFill="1" applyBorder="1" applyAlignment="1">
      <alignment vertical="top" wrapText="1"/>
    </xf>
    <xf numFmtId="0" fontId="35" fillId="7" borderId="0" xfId="0" applyFont="1" applyFill="1"/>
    <xf numFmtId="0" fontId="7" fillId="7" borderId="0" xfId="0" applyFont="1" applyFill="1"/>
    <xf numFmtId="0" fontId="21" fillId="7" borderId="0" xfId="0" applyFont="1" applyFill="1"/>
    <xf numFmtId="43" fontId="23" fillId="0" borderId="15" xfId="2" applyFont="1" applyBorder="1"/>
    <xf numFmtId="0" fontId="36" fillId="0" borderId="15" xfId="0" applyFont="1" applyBorder="1" applyAlignment="1">
      <alignment horizontal="center"/>
    </xf>
    <xf numFmtId="0" fontId="36" fillId="0" borderId="23" xfId="0" applyFont="1" applyBorder="1" applyAlignment="1">
      <alignment horizontal="center"/>
    </xf>
    <xf numFmtId="0" fontId="39" fillId="7" borderId="0" xfId="0" applyFont="1" applyFill="1" applyAlignment="1">
      <alignment vertical="center"/>
    </xf>
    <xf numFmtId="43" fontId="2" fillId="0" borderId="40" xfId="2" applyFont="1" applyBorder="1" applyAlignment="1">
      <alignment horizontal="center" vertical="center"/>
    </xf>
    <xf numFmtId="0" fontId="40" fillId="0" borderId="0" xfId="0" applyFont="1"/>
    <xf numFmtId="0" fontId="40" fillId="0" borderId="0" xfId="0" applyFont="1" applyAlignment="1">
      <alignment horizontal="left" vertical="top" wrapText="1"/>
    </xf>
    <xf numFmtId="0" fontId="0" fillId="0" borderId="0" xfId="0" applyAlignment="1">
      <alignment horizontal="left" vertical="top" wrapText="1"/>
    </xf>
    <xf numFmtId="0" fontId="41" fillId="7" borderId="45" xfId="0" applyFont="1" applyFill="1" applyBorder="1"/>
    <xf numFmtId="0" fontId="42" fillId="7" borderId="0" xfId="0" applyFont="1" applyFill="1"/>
    <xf numFmtId="0" fontId="19" fillId="7" borderId="32" xfId="0" applyFont="1" applyFill="1" applyBorder="1"/>
    <xf numFmtId="0" fontId="4" fillId="7" borderId="0" xfId="0" applyFont="1" applyFill="1" applyAlignment="1">
      <alignment vertical="top" wrapText="1"/>
    </xf>
    <xf numFmtId="0" fontId="33" fillId="2" borderId="4" xfId="0" applyFont="1" applyFill="1" applyBorder="1" applyAlignment="1">
      <alignment vertical="center" wrapText="1"/>
    </xf>
    <xf numFmtId="0" fontId="4" fillId="7" borderId="20" xfId="0" applyFont="1" applyFill="1" applyBorder="1" applyAlignment="1">
      <alignment vertical="top" wrapText="1"/>
    </xf>
    <xf numFmtId="0" fontId="0" fillId="7" borderId="16" xfId="0" applyFill="1" applyBorder="1"/>
    <xf numFmtId="0" fontId="0" fillId="7" borderId="18" xfId="0" applyFill="1" applyBorder="1"/>
    <xf numFmtId="0" fontId="17" fillId="7" borderId="16" xfId="0" applyFont="1" applyFill="1" applyBorder="1" applyAlignment="1">
      <alignment vertical="center" wrapText="1"/>
    </xf>
    <xf numFmtId="0" fontId="37" fillId="7" borderId="32" xfId="0" applyFont="1" applyFill="1" applyBorder="1" applyAlignment="1">
      <alignment vertical="top" wrapText="1"/>
    </xf>
    <xf numFmtId="0" fontId="37" fillId="7" borderId="21" xfId="0" applyFont="1" applyFill="1" applyBorder="1" applyAlignment="1">
      <alignment vertical="center" wrapText="1"/>
    </xf>
    <xf numFmtId="0" fontId="2" fillId="7" borderId="0" xfId="0" applyFont="1" applyFill="1"/>
    <xf numFmtId="0" fontId="2" fillId="0" borderId="0" xfId="0" applyFont="1"/>
    <xf numFmtId="0" fontId="2" fillId="6" borderId="12" xfId="0" applyFont="1" applyFill="1" applyBorder="1" applyAlignment="1">
      <alignment horizontal="right" vertical="center"/>
    </xf>
    <xf numFmtId="0" fontId="2" fillId="6" borderId="0" xfId="0" applyFont="1" applyFill="1" applyAlignment="1">
      <alignment horizontal="right" vertical="center"/>
    </xf>
    <xf numFmtId="0" fontId="2" fillId="6" borderId="0" xfId="0" applyFont="1" applyFill="1" applyAlignment="1">
      <alignment horizontal="right"/>
    </xf>
    <xf numFmtId="43" fontId="2" fillId="0" borderId="29" xfId="2" applyFont="1" applyBorder="1" applyAlignment="1">
      <alignment horizontal="center" vertical="center"/>
    </xf>
    <xf numFmtId="43" fontId="2" fillId="0" borderId="41" xfId="2" applyFont="1" applyBorder="1" applyAlignment="1">
      <alignment horizontal="center" vertical="center"/>
    </xf>
    <xf numFmtId="43" fontId="2" fillId="0" borderId="30" xfId="2" applyFont="1" applyBorder="1" applyAlignment="1">
      <alignment horizontal="center" vertical="center"/>
    </xf>
    <xf numFmtId="43" fontId="2" fillId="0" borderId="31" xfId="2" applyFont="1" applyBorder="1" applyAlignment="1">
      <alignment horizontal="center" vertical="center"/>
    </xf>
    <xf numFmtId="43" fontId="2" fillId="0" borderId="49" xfId="2" applyFont="1" applyBorder="1" applyAlignment="1">
      <alignment horizontal="center" vertical="center"/>
    </xf>
    <xf numFmtId="0" fontId="20" fillId="7" borderId="46" xfId="0" applyFont="1" applyFill="1" applyBorder="1" applyAlignment="1">
      <alignment vertical="center" wrapText="1"/>
    </xf>
    <xf numFmtId="2" fontId="44" fillId="4" borderId="58" xfId="0" applyNumberFormat="1" applyFont="1" applyFill="1" applyBorder="1" applyAlignment="1">
      <alignment horizontal="right" vertical="center"/>
    </xf>
    <xf numFmtId="2" fontId="44" fillId="4" borderId="59" xfId="0" applyNumberFormat="1" applyFont="1" applyFill="1" applyBorder="1" applyAlignment="1">
      <alignment horizontal="right" vertical="center"/>
    </xf>
    <xf numFmtId="2" fontId="44" fillId="4" borderId="60" xfId="0" applyNumberFormat="1" applyFont="1" applyFill="1" applyBorder="1" applyAlignment="1">
      <alignment horizontal="right" vertical="center"/>
    </xf>
    <xf numFmtId="2" fontId="20" fillId="7" borderId="32" xfId="0" applyNumberFormat="1" applyFont="1" applyFill="1" applyBorder="1" applyAlignment="1">
      <alignment horizontal="left" vertical="center" wrapText="1"/>
    </xf>
    <xf numFmtId="0" fontId="0" fillId="0" borderId="0" xfId="0" applyAlignment="1"/>
    <xf numFmtId="0" fontId="0" fillId="12" borderId="0" xfId="0" applyFill="1"/>
    <xf numFmtId="0" fontId="11" fillId="6" borderId="0" xfId="0" applyFont="1" applyFill="1"/>
    <xf numFmtId="0" fontId="45" fillId="0" borderId="0" xfId="0" applyFont="1"/>
    <xf numFmtId="0" fontId="45" fillId="0" borderId="0" xfId="0" applyFont="1" applyAlignment="1"/>
    <xf numFmtId="1" fontId="0" fillId="0" borderId="0" xfId="0" applyNumberFormat="1"/>
    <xf numFmtId="3" fontId="0" fillId="0" borderId="0" xfId="0" applyNumberFormat="1"/>
    <xf numFmtId="0" fontId="0" fillId="13" borderId="0" xfId="0" applyFill="1"/>
    <xf numFmtId="0" fontId="0" fillId="13" borderId="0" xfId="0" applyFill="1" applyAlignment="1"/>
    <xf numFmtId="0" fontId="11" fillId="0" borderId="0" xfId="0" applyFont="1"/>
    <xf numFmtId="0" fontId="47" fillId="0" borderId="0" xfId="0" applyFont="1" applyAlignment="1">
      <alignment horizontal="left"/>
    </xf>
    <xf numFmtId="0" fontId="48" fillId="0" borderId="0" xfId="0" applyFont="1"/>
    <xf numFmtId="0" fontId="49" fillId="0" borderId="0" xfId="0" applyFont="1" applyAlignment="1">
      <alignment horizontal="left"/>
    </xf>
    <xf numFmtId="0" fontId="31" fillId="0" borderId="0" xfId="0" applyFont="1"/>
    <xf numFmtId="0" fontId="52" fillId="14" borderId="62" xfId="0" applyFont="1" applyFill="1" applyBorder="1" applyAlignment="1">
      <alignment horizontal="center" vertical="center"/>
    </xf>
    <xf numFmtId="0" fontId="53" fillId="15" borderId="60" xfId="0" applyFont="1" applyFill="1" applyBorder="1" applyAlignment="1">
      <alignment horizontal="left" vertical="center"/>
    </xf>
    <xf numFmtId="0" fontId="53" fillId="15" borderId="60" xfId="0" applyFont="1" applyFill="1" applyBorder="1" applyAlignment="1">
      <alignment horizontal="center" vertical="center"/>
    </xf>
    <xf numFmtId="164" fontId="0" fillId="0" borderId="0" xfId="0" applyNumberFormat="1"/>
    <xf numFmtId="0" fontId="53" fillId="16" borderId="60" xfId="0" applyFont="1" applyFill="1" applyBorder="1" applyAlignment="1">
      <alignment horizontal="left" vertical="center"/>
    </xf>
    <xf numFmtId="0" fontId="53" fillId="16" borderId="60" xfId="0" applyFont="1" applyFill="1" applyBorder="1" applyAlignment="1">
      <alignment horizontal="center" vertical="center"/>
    </xf>
    <xf numFmtId="0" fontId="52" fillId="14" borderId="69" xfId="0" applyFont="1" applyFill="1" applyBorder="1" applyAlignment="1">
      <alignment horizontal="left" vertical="center"/>
    </xf>
    <xf numFmtId="9" fontId="53" fillId="16" borderId="60" xfId="0" applyNumberFormat="1" applyFont="1" applyFill="1" applyBorder="1" applyAlignment="1">
      <alignment horizontal="center" vertical="center"/>
    </xf>
    <xf numFmtId="164" fontId="0" fillId="0" borderId="0" xfId="3" applyNumberFormat="1" applyFont="1"/>
    <xf numFmtId="0" fontId="36" fillId="0" borderId="15" xfId="0" applyFont="1" applyBorder="1" applyAlignment="1">
      <alignment horizontal="left"/>
    </xf>
    <xf numFmtId="0" fontId="55" fillId="0" borderId="0" xfId="0" applyFont="1"/>
    <xf numFmtId="9" fontId="23" fillId="10" borderId="15" xfId="2" applyNumberFormat="1" applyFont="1" applyFill="1" applyBorder="1"/>
    <xf numFmtId="165" fontId="23" fillId="0" borderId="15" xfId="2" applyNumberFormat="1" applyFont="1" applyBorder="1"/>
    <xf numFmtId="165" fontId="23" fillId="7" borderId="15" xfId="2" applyNumberFormat="1" applyFont="1" applyFill="1" applyBorder="1"/>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6" fillId="7" borderId="46" xfId="0" applyFont="1" applyFill="1" applyBorder="1" applyAlignment="1">
      <alignment horizontal="left" vertical="top" wrapText="1"/>
    </xf>
    <xf numFmtId="0" fontId="6" fillId="7" borderId="24" xfId="0" applyFont="1" applyFill="1" applyBorder="1" applyAlignment="1">
      <alignment horizontal="left" vertical="top" wrapText="1"/>
    </xf>
    <xf numFmtId="0" fontId="17" fillId="7" borderId="24" xfId="0" applyFont="1" applyFill="1" applyBorder="1" applyAlignment="1">
      <alignment horizontal="left" vertical="top" wrapText="1"/>
    </xf>
    <xf numFmtId="0" fontId="31" fillId="6" borderId="15" xfId="0" applyFont="1" applyFill="1" applyBorder="1" applyAlignment="1">
      <alignment horizontal="center"/>
    </xf>
    <xf numFmtId="0" fontId="31" fillId="9" borderId="15" xfId="0" applyFont="1" applyFill="1" applyBorder="1" applyAlignment="1">
      <alignment horizontal="center"/>
    </xf>
    <xf numFmtId="0" fontId="31" fillId="6" borderId="15" xfId="0" applyFont="1" applyFill="1" applyBorder="1" applyAlignment="1">
      <alignment horizontal="center" vertical="center" wrapText="1"/>
    </xf>
    <xf numFmtId="0" fontId="31" fillId="6" borderId="27" xfId="0" applyFont="1" applyFill="1" applyBorder="1" applyAlignment="1">
      <alignment horizontal="center" vertical="center" wrapText="1"/>
    </xf>
    <xf numFmtId="43" fontId="2" fillId="0" borderId="23" xfId="2" applyFont="1" applyBorder="1" applyAlignment="1">
      <alignment horizontal="center" vertical="center"/>
    </xf>
    <xf numFmtId="43" fontId="2" fillId="0" borderId="15" xfId="2" applyFont="1" applyBorder="1" applyAlignment="1">
      <alignment horizontal="center" vertical="center"/>
    </xf>
    <xf numFmtId="0" fontId="52" fillId="14" borderId="62" xfId="0" applyFont="1" applyFill="1" applyBorder="1" applyAlignment="1">
      <alignment horizontal="left" vertical="center"/>
    </xf>
    <xf numFmtId="0" fontId="31" fillId="6" borderId="15" xfId="0" applyFont="1" applyFill="1" applyBorder="1" applyAlignment="1">
      <alignment horizontal="center"/>
    </xf>
    <xf numFmtId="0" fontId="31" fillId="9" borderId="15" xfId="0" applyFont="1" applyFill="1" applyBorder="1" applyAlignment="1">
      <alignment horizontal="center"/>
    </xf>
    <xf numFmtId="0" fontId="31" fillId="6" borderId="15" xfId="0" applyFont="1" applyFill="1" applyBorder="1" applyAlignment="1">
      <alignment horizontal="center" vertical="center" wrapText="1"/>
    </xf>
    <xf numFmtId="0" fontId="1" fillId="7" borderId="0" xfId="0" applyFont="1" applyFill="1" applyAlignment="1" applyProtection="1">
      <alignment vertical="center" wrapText="1"/>
      <protection locked="0"/>
    </xf>
    <xf numFmtId="0" fontId="1" fillId="7" borderId="0" xfId="0" applyFont="1" applyFill="1" applyAlignment="1" applyProtection="1">
      <alignment vertical="top"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8"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166" fontId="0" fillId="0" borderId="0" xfId="0" applyNumberFormat="1"/>
    <xf numFmtId="9" fontId="2" fillId="0" borderId="23" xfId="3" applyFont="1" applyBorder="1" applyAlignment="1">
      <alignment horizontal="center" vertical="center"/>
    </xf>
    <xf numFmtId="9" fontId="2" fillId="0" borderId="15" xfId="3" applyFont="1" applyBorder="1" applyAlignment="1">
      <alignment horizontal="center" vertical="center"/>
    </xf>
    <xf numFmtId="14" fontId="0" fillId="0" borderId="0" xfId="0" applyNumberFormat="1"/>
    <xf numFmtId="0" fontId="11" fillId="0" borderId="71" xfId="0" applyFont="1" applyBorder="1"/>
    <xf numFmtId="167" fontId="0" fillId="0" borderId="0" xfId="0" applyNumberFormat="1"/>
    <xf numFmtId="0" fontId="11" fillId="7" borderId="24" xfId="0" applyFont="1" applyFill="1" applyBorder="1" applyAlignment="1">
      <alignment horizontal="left" vertical="top"/>
    </xf>
    <xf numFmtId="0" fontId="11" fillId="7" borderId="45" xfId="0" applyFont="1" applyFill="1" applyBorder="1" applyAlignment="1">
      <alignment horizontal="left" vertical="top"/>
    </xf>
    <xf numFmtId="0" fontId="11" fillId="7" borderId="25" xfId="0" applyFont="1" applyFill="1" applyBorder="1" applyAlignment="1">
      <alignment horizontal="left" vertical="top"/>
    </xf>
    <xf numFmtId="0" fontId="28" fillId="6" borderId="22"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1" xfId="0" applyFont="1" applyFill="1" applyBorder="1" applyAlignment="1">
      <alignment horizontal="left" vertical="center" wrapText="1"/>
    </xf>
    <xf numFmtId="0" fontId="13" fillId="8" borderId="22" xfId="0" applyFont="1" applyFill="1" applyBorder="1" applyAlignment="1">
      <alignment horizontal="left"/>
    </xf>
    <xf numFmtId="0" fontId="13" fillId="8" borderId="26" xfId="0" applyFont="1" applyFill="1" applyBorder="1" applyAlignment="1">
      <alignment horizontal="left"/>
    </xf>
    <xf numFmtId="0" fontId="13" fillId="8" borderId="23" xfId="0" applyFont="1" applyFill="1" applyBorder="1" applyAlignment="1">
      <alignment horizontal="left"/>
    </xf>
    <xf numFmtId="0" fontId="28" fillId="6" borderId="23" xfId="0" applyFont="1" applyFill="1" applyBorder="1" applyAlignment="1">
      <alignment horizontal="left" vertical="center" wrapText="1"/>
    </xf>
    <xf numFmtId="0" fontId="28" fillId="6" borderId="16" xfId="0" applyFont="1" applyFill="1" applyBorder="1" applyAlignment="1">
      <alignment horizontal="left" vertical="center" wrapText="1"/>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17" fillId="7" borderId="16" xfId="0" applyFont="1" applyFill="1" applyBorder="1" applyAlignment="1">
      <alignment horizontal="left" vertical="top" wrapText="1"/>
    </xf>
    <xf numFmtId="0" fontId="17" fillId="7" borderId="46" xfId="0" applyFont="1" applyFill="1" applyBorder="1" applyAlignment="1">
      <alignment horizontal="left" vertical="top" wrapText="1"/>
    </xf>
    <xf numFmtId="0" fontId="6" fillId="7" borderId="24" xfId="0" applyFont="1" applyFill="1" applyBorder="1" applyAlignment="1">
      <alignment horizontal="left" vertical="top" wrapText="1"/>
    </xf>
    <xf numFmtId="0" fontId="6" fillId="7" borderId="45" xfId="0" applyFont="1" applyFill="1" applyBorder="1" applyAlignment="1">
      <alignment horizontal="left" vertical="top" wrapText="1"/>
    </xf>
    <xf numFmtId="0" fontId="6" fillId="7" borderId="16" xfId="0" applyFont="1" applyFill="1" applyBorder="1" applyAlignment="1">
      <alignment horizontal="left" vertical="top" wrapText="1"/>
    </xf>
    <xf numFmtId="0" fontId="6" fillId="7" borderId="46" xfId="0" applyFont="1" applyFill="1" applyBorder="1" applyAlignment="1">
      <alignment horizontal="left" vertical="top" wrapText="1"/>
    </xf>
    <xf numFmtId="0" fontId="17" fillId="7" borderId="24" xfId="0" applyFont="1" applyFill="1" applyBorder="1" applyAlignment="1">
      <alignment horizontal="left" vertical="top" wrapText="1"/>
    </xf>
    <xf numFmtId="0" fontId="17" fillId="7" borderId="45" xfId="0" applyFont="1" applyFill="1" applyBorder="1" applyAlignment="1">
      <alignment horizontal="left" vertical="top" wrapText="1"/>
    </xf>
    <xf numFmtId="0" fontId="4" fillId="7" borderId="32" xfId="0" applyFont="1" applyFill="1" applyBorder="1" applyAlignment="1">
      <alignment horizontal="left" vertical="top" wrapText="1"/>
    </xf>
    <xf numFmtId="0" fontId="4" fillId="7" borderId="21" xfId="0" applyFont="1" applyFill="1" applyBorder="1" applyAlignment="1">
      <alignment horizontal="left" vertical="top" wrapText="1"/>
    </xf>
    <xf numFmtId="0" fontId="0" fillId="7" borderId="26" xfId="0" applyFill="1" applyBorder="1" applyAlignment="1">
      <alignment horizontal="left" wrapText="1"/>
    </xf>
    <xf numFmtId="0" fontId="0" fillId="7" borderId="23" xfId="0" applyFill="1" applyBorder="1" applyAlignment="1">
      <alignment horizontal="left" wrapText="1"/>
    </xf>
    <xf numFmtId="0" fontId="6" fillId="7" borderId="25" xfId="0" applyFont="1" applyFill="1" applyBorder="1" applyAlignment="1">
      <alignment horizontal="left" vertical="top" wrapText="1"/>
    </xf>
    <xf numFmtId="0" fontId="23" fillId="0" borderId="15" xfId="0" applyFont="1" applyBorder="1" applyAlignment="1">
      <alignment horizontal="left" vertical="top" wrapText="1"/>
    </xf>
    <xf numFmtId="0" fontId="34" fillId="0" borderId="15" xfId="0" applyFont="1" applyBorder="1" applyAlignment="1">
      <alignment horizontal="center" vertical="top"/>
    </xf>
    <xf numFmtId="0" fontId="32" fillId="5" borderId="22"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2" fillId="6" borderId="18" xfId="0" applyFont="1" applyFill="1" applyBorder="1" applyAlignment="1">
      <alignment horizontal="center" wrapText="1"/>
    </xf>
    <xf numFmtId="0" fontId="32" fillId="6" borderId="19" xfId="0" applyFont="1" applyFill="1" applyBorder="1" applyAlignment="1">
      <alignment horizontal="center" wrapText="1"/>
    </xf>
    <xf numFmtId="0" fontId="32" fillId="6" borderId="20" xfId="0" applyFont="1" applyFill="1" applyBorder="1" applyAlignment="1">
      <alignment horizontal="center" wrapText="1"/>
    </xf>
    <xf numFmtId="0" fontId="32" fillId="6" borderId="21" xfId="0" applyFont="1" applyFill="1" applyBorder="1" applyAlignment="1">
      <alignment horizontal="center" wrapText="1"/>
    </xf>
    <xf numFmtId="0" fontId="31" fillId="6" borderId="15" xfId="0" applyFont="1" applyFill="1" applyBorder="1" applyAlignment="1">
      <alignment horizontal="center"/>
    </xf>
    <xf numFmtId="0" fontId="31" fillId="9" borderId="15" xfId="0" applyFont="1" applyFill="1" applyBorder="1" applyAlignment="1">
      <alignment horizontal="center"/>
    </xf>
    <xf numFmtId="0" fontId="33" fillId="7" borderId="16" xfId="0" applyFont="1" applyFill="1" applyBorder="1" applyAlignment="1">
      <alignment horizontal="left" vertical="top" wrapText="1"/>
    </xf>
    <xf numFmtId="0" fontId="33" fillId="7" borderId="17" xfId="0" applyFont="1" applyFill="1" applyBorder="1" applyAlignment="1">
      <alignment horizontal="left" vertical="top" wrapText="1"/>
    </xf>
    <xf numFmtId="0" fontId="33" fillId="7" borderId="18" xfId="0" applyFont="1" applyFill="1" applyBorder="1" applyAlignment="1">
      <alignment horizontal="left" vertical="top" wrapText="1"/>
    </xf>
    <xf numFmtId="0" fontId="33" fillId="7" borderId="19" xfId="0" applyFont="1" applyFill="1" applyBorder="1" applyAlignment="1">
      <alignment horizontal="left" vertical="top" wrapText="1"/>
    </xf>
    <xf numFmtId="0" fontId="33" fillId="7" borderId="20" xfId="0" applyFont="1" applyFill="1" applyBorder="1" applyAlignment="1">
      <alignment horizontal="left" vertical="top" wrapText="1"/>
    </xf>
    <xf numFmtId="0" fontId="33" fillId="7" borderId="21" xfId="0" applyFont="1" applyFill="1" applyBorder="1" applyAlignment="1">
      <alignment horizontal="left" vertical="top" wrapText="1"/>
    </xf>
    <xf numFmtId="0" fontId="1" fillId="0" borderId="15" xfId="0" applyFont="1" applyBorder="1" applyAlignment="1" applyProtection="1">
      <alignment horizontal="left" vertical="top" wrapText="1"/>
      <protection locked="0"/>
    </xf>
    <xf numFmtId="0" fontId="1" fillId="7" borderId="15" xfId="0" applyFont="1" applyFill="1" applyBorder="1" applyAlignment="1">
      <alignment horizontal="center" vertical="top" wrapText="1"/>
    </xf>
    <xf numFmtId="0" fontId="1" fillId="3" borderId="15" xfId="0" applyFont="1" applyFill="1" applyBorder="1" applyAlignment="1">
      <alignment horizontal="left" vertical="top" wrapText="1"/>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3" borderId="15" xfId="0" applyFont="1" applyFill="1" applyBorder="1" applyAlignment="1">
      <alignment horizontal="left" vertical="center" wrapText="1"/>
    </xf>
    <xf numFmtId="0" fontId="31" fillId="6" borderId="15" xfId="0" applyFont="1" applyFill="1" applyBorder="1" applyAlignment="1">
      <alignment horizontal="center" wrapText="1"/>
    </xf>
    <xf numFmtId="0" fontId="1" fillId="7" borderId="15" xfId="0" applyFont="1" applyFill="1" applyBorder="1" applyAlignment="1">
      <alignment horizontal="left" vertical="top" wrapText="1"/>
    </xf>
    <xf numFmtId="0" fontId="1" fillId="2" borderId="15" xfId="0" applyFont="1" applyFill="1" applyBorder="1" applyAlignment="1" applyProtection="1">
      <alignment horizontal="left" vertical="top" wrapText="1"/>
      <protection locked="0"/>
    </xf>
    <xf numFmtId="0" fontId="32" fillId="5" borderId="15" xfId="0" applyFont="1" applyFill="1" applyBorder="1" applyAlignment="1">
      <alignment horizontal="left" vertical="center"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1" fillId="6" borderId="16" xfId="0" applyFont="1" applyFill="1" applyBorder="1" applyAlignment="1">
      <alignment horizontal="center" wrapText="1"/>
    </xf>
    <xf numFmtId="0" fontId="31" fillId="6" borderId="18" xfId="0" applyFont="1" applyFill="1" applyBorder="1" applyAlignment="1">
      <alignment horizontal="center" wrapText="1"/>
    </xf>
    <xf numFmtId="0" fontId="31" fillId="6" borderId="19" xfId="0" applyFont="1" applyFill="1" applyBorder="1" applyAlignment="1">
      <alignment horizontal="center" wrapText="1"/>
    </xf>
    <xf numFmtId="0" fontId="31" fillId="6" borderId="21" xfId="0" applyFont="1" applyFill="1" applyBorder="1" applyAlignment="1">
      <alignment horizontal="center" wrapText="1"/>
    </xf>
    <xf numFmtId="0" fontId="31" fillId="6" borderId="24" xfId="0" applyFont="1" applyFill="1" applyBorder="1" applyAlignment="1">
      <alignment horizontal="center" wrapText="1"/>
    </xf>
    <xf numFmtId="0" fontId="31" fillId="6" borderId="25" xfId="0" applyFont="1" applyFill="1" applyBorder="1" applyAlignment="1">
      <alignment horizontal="center" wrapText="1"/>
    </xf>
    <xf numFmtId="0" fontId="33" fillId="7" borderId="15" xfId="0" applyFont="1" applyFill="1" applyBorder="1" applyAlignment="1">
      <alignment horizontal="center" vertical="top" wrapText="1"/>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43" fillId="3" borderId="16" xfId="0" applyFont="1" applyFill="1" applyBorder="1" applyAlignment="1">
      <alignment horizontal="left" vertical="center" wrapText="1"/>
    </xf>
    <xf numFmtId="0" fontId="43" fillId="3" borderId="18"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43" fillId="3" borderId="21" xfId="0" applyFont="1" applyFill="1" applyBorder="1" applyAlignment="1">
      <alignment horizontal="left" vertical="center" wrapText="1"/>
    </xf>
    <xf numFmtId="0" fontId="4" fillId="7" borderId="16" xfId="0" applyFont="1" applyFill="1" applyBorder="1" applyAlignment="1">
      <alignment horizontal="right" vertical="top" wrapText="1"/>
    </xf>
    <xf numFmtId="0" fontId="4" fillId="7" borderId="19" xfId="0" applyFont="1" applyFill="1" applyBorder="1" applyAlignment="1">
      <alignment horizontal="right" vertical="top" wrapText="1"/>
    </xf>
    <xf numFmtId="0" fontId="4" fillId="7" borderId="17" xfId="0" applyFont="1" applyFill="1" applyBorder="1" applyAlignment="1">
      <alignment horizontal="left" vertical="top" wrapText="1"/>
    </xf>
    <xf numFmtId="0" fontId="4" fillId="7" borderId="18" xfId="0" applyFont="1" applyFill="1" applyBorder="1" applyAlignment="1">
      <alignment horizontal="left" vertical="top" wrapText="1"/>
    </xf>
    <xf numFmtId="0" fontId="4" fillId="7" borderId="20" xfId="0" applyFont="1" applyFill="1" applyBorder="1" applyAlignment="1">
      <alignment horizontal="left" vertical="top" wrapText="1"/>
    </xf>
    <xf numFmtId="0" fontId="1" fillId="3" borderId="15" xfId="0" applyFont="1" applyFill="1" applyBorder="1" applyAlignment="1">
      <alignment vertical="top" wrapText="1"/>
    </xf>
    <xf numFmtId="0" fontId="38" fillId="6" borderId="15" xfId="0" applyFont="1" applyFill="1" applyBorder="1" applyAlignment="1">
      <alignment horizontal="left" vertical="center" wrapText="1"/>
    </xf>
    <xf numFmtId="0" fontId="38" fillId="6" borderId="24" xfId="0" applyFont="1" applyFill="1" applyBorder="1" applyAlignment="1">
      <alignment horizontal="left" vertical="center" wrapText="1"/>
    </xf>
    <xf numFmtId="0" fontId="1" fillId="3" borderId="22" xfId="0" applyFont="1" applyFill="1" applyBorder="1" applyAlignment="1">
      <alignment horizontal="left" vertical="top" wrapText="1"/>
    </xf>
    <xf numFmtId="0" fontId="33" fillId="3" borderId="15" xfId="0" applyFont="1" applyFill="1" applyBorder="1" applyAlignment="1">
      <alignment horizontal="left" vertical="center" wrapText="1"/>
    </xf>
    <xf numFmtId="43" fontId="33" fillId="2" borderId="22" xfId="2" applyFont="1" applyFill="1" applyBorder="1" applyAlignment="1" applyProtection="1">
      <alignment horizontal="left" vertical="center" wrapText="1"/>
      <protection locked="0"/>
    </xf>
    <xf numFmtId="43" fontId="33" fillId="2" borderId="26" xfId="2" applyFont="1" applyFill="1" applyBorder="1" applyAlignment="1" applyProtection="1">
      <alignment horizontal="left" vertical="center" wrapText="1"/>
      <protection locked="0"/>
    </xf>
    <xf numFmtId="43" fontId="33" fillId="2" borderId="23" xfId="2" applyFont="1" applyFill="1" applyBorder="1" applyAlignment="1" applyProtection="1">
      <alignment horizontal="left" vertical="center" wrapText="1"/>
      <protection locked="0"/>
    </xf>
    <xf numFmtId="0" fontId="33" fillId="2" borderId="22" xfId="0"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3" borderId="15" xfId="0" applyFont="1" applyFill="1" applyBorder="1" applyAlignment="1">
      <alignment horizontal="left" vertical="top" wrapText="1"/>
    </xf>
    <xf numFmtId="0" fontId="33" fillId="2" borderId="16" xfId="0" applyFont="1" applyFill="1" applyBorder="1" applyAlignment="1" applyProtection="1">
      <alignment horizontal="left" vertical="top" wrapText="1"/>
      <protection locked="0"/>
    </xf>
    <xf numFmtId="0" fontId="33" fillId="2" borderId="17"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33" fillId="7" borderId="24" xfId="0" applyFont="1" applyFill="1" applyBorder="1" applyAlignment="1">
      <alignment horizontal="left" vertical="top" wrapText="1"/>
    </xf>
    <xf numFmtId="0" fontId="33" fillId="7" borderId="25" xfId="0" applyFont="1" applyFill="1" applyBorder="1" applyAlignment="1">
      <alignment horizontal="left" vertical="top" wrapText="1"/>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7" borderId="16" xfId="0" applyFont="1" applyFill="1" applyBorder="1" applyAlignment="1">
      <alignment horizontal="left" vertical="center" wrapText="1"/>
    </xf>
    <xf numFmtId="0" fontId="33" fillId="7" borderId="18" xfId="0" applyFont="1" applyFill="1" applyBorder="1" applyAlignment="1">
      <alignment horizontal="left" vertical="center" wrapText="1"/>
    </xf>
    <xf numFmtId="0" fontId="33" fillId="7" borderId="46" xfId="0" applyFont="1" applyFill="1" applyBorder="1" applyAlignment="1">
      <alignment horizontal="left" vertical="center" wrapText="1"/>
    </xf>
    <xf numFmtId="0" fontId="33" fillId="7" borderId="32" xfId="0" applyFont="1" applyFill="1" applyBorder="1" applyAlignment="1">
      <alignment horizontal="left" vertical="center" wrapText="1"/>
    </xf>
    <xf numFmtId="0" fontId="33" fillId="7" borderId="19" xfId="0" applyFont="1" applyFill="1" applyBorder="1" applyAlignment="1">
      <alignment horizontal="left" vertical="center" wrapText="1"/>
    </xf>
    <xf numFmtId="0" fontId="33" fillId="7" borderId="21" xfId="0" applyFont="1" applyFill="1" applyBorder="1" applyAlignment="1">
      <alignment horizontal="left" vertical="center" wrapText="1"/>
    </xf>
    <xf numFmtId="0" fontId="33" fillId="7" borderId="24" xfId="0" applyFont="1" applyFill="1" applyBorder="1" applyAlignment="1">
      <alignment horizontal="left" vertical="center" wrapText="1"/>
    </xf>
    <xf numFmtId="0" fontId="33" fillId="7" borderId="45" xfId="0" applyFont="1" applyFill="1" applyBorder="1" applyAlignment="1">
      <alignment horizontal="left" vertical="center" wrapText="1"/>
    </xf>
    <xf numFmtId="0" fontId="33" fillId="7" borderId="25" xfId="0" applyFont="1" applyFill="1" applyBorder="1" applyAlignment="1">
      <alignment horizontal="left" vertical="center" wrapText="1"/>
    </xf>
    <xf numFmtId="0" fontId="33" fillId="11" borderId="15" xfId="0" applyFont="1" applyFill="1" applyBorder="1" applyAlignment="1">
      <alignment horizontal="left" vertical="center" wrapText="1"/>
    </xf>
    <xf numFmtId="0" fontId="31" fillId="6" borderId="15" xfId="0" applyFont="1" applyFill="1" applyBorder="1" applyAlignment="1">
      <alignment horizontal="center" vertical="center" wrapText="1"/>
    </xf>
    <xf numFmtId="0" fontId="33" fillId="7" borderId="15" xfId="0" applyFont="1" applyFill="1" applyBorder="1" applyAlignment="1">
      <alignment horizontal="left" vertical="top" wrapText="1"/>
    </xf>
    <xf numFmtId="0" fontId="31" fillId="6"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6" fillId="5" borderId="22"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33" fillId="3" borderId="15" xfId="0" applyFont="1" applyFill="1" applyBorder="1" applyAlignment="1">
      <alignment vertical="center" wrapText="1"/>
    </xf>
    <xf numFmtId="0" fontId="33" fillId="7" borderId="22" xfId="0" applyFont="1" applyFill="1" applyBorder="1" applyAlignment="1" applyProtection="1">
      <alignment horizontal="left" vertical="top" wrapText="1"/>
      <protection locked="0"/>
    </xf>
    <xf numFmtId="0" fontId="33" fillId="7" borderId="26" xfId="0" applyFont="1" applyFill="1" applyBorder="1" applyAlignment="1" applyProtection="1">
      <alignment horizontal="left" vertical="top" wrapText="1"/>
      <protection locked="0"/>
    </xf>
    <xf numFmtId="0" fontId="33" fillId="7" borderId="23" xfId="0" applyFont="1" applyFill="1" applyBorder="1" applyAlignment="1" applyProtection="1">
      <alignment horizontal="left" vertical="top" wrapText="1"/>
      <protection locked="0"/>
    </xf>
    <xf numFmtId="0" fontId="1" fillId="3" borderId="15" xfId="0" applyFont="1" applyFill="1" applyBorder="1" applyAlignment="1">
      <alignment vertical="center" wrapText="1"/>
    </xf>
    <xf numFmtId="14" fontId="1" fillId="2" borderId="22" xfId="0" applyNumberFormat="1"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3" fillId="3" borderId="16" xfId="0" applyFont="1" applyFill="1" applyBorder="1" applyAlignment="1">
      <alignment horizontal="left" vertical="top" wrapText="1"/>
    </xf>
    <xf numFmtId="0" fontId="33" fillId="3" borderId="18" xfId="0" applyFont="1" applyFill="1" applyBorder="1" applyAlignment="1">
      <alignment horizontal="left" vertical="top" wrapText="1"/>
    </xf>
    <xf numFmtId="0" fontId="33" fillId="3" borderId="19" xfId="0" applyFont="1" applyFill="1" applyBorder="1" applyAlignment="1">
      <alignment horizontal="left" vertical="top" wrapText="1"/>
    </xf>
    <xf numFmtId="0" fontId="33" fillId="3" borderId="21" xfId="0" applyFont="1" applyFill="1" applyBorder="1" applyAlignment="1">
      <alignment horizontal="left" vertical="top" wrapText="1"/>
    </xf>
    <xf numFmtId="49" fontId="1" fillId="7" borderId="22" xfId="0" applyNumberFormat="1" applyFont="1" applyFill="1" applyBorder="1" applyAlignment="1" applyProtection="1">
      <alignment horizontal="left" vertical="top" wrapText="1"/>
      <protection locked="0"/>
    </xf>
    <xf numFmtId="49" fontId="1" fillId="7" borderId="26" xfId="0" applyNumberFormat="1" applyFont="1" applyFill="1" applyBorder="1" applyAlignment="1" applyProtection="1">
      <alignment horizontal="left" vertical="top" wrapText="1"/>
      <protection locked="0"/>
    </xf>
    <xf numFmtId="49" fontId="1" fillId="7" borderId="23" xfId="0" applyNumberFormat="1" applyFont="1" applyFill="1" applyBorder="1" applyAlignment="1" applyProtection="1">
      <alignment horizontal="left" vertical="top" wrapText="1"/>
      <protection locked="0"/>
    </xf>
    <xf numFmtId="0" fontId="1" fillId="7" borderId="22"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center" wrapText="1"/>
      <protection locked="0"/>
    </xf>
    <xf numFmtId="0" fontId="33" fillId="2" borderId="22" xfId="0" applyFont="1" applyFill="1" applyBorder="1" applyAlignment="1" applyProtection="1">
      <alignment horizontal="left" vertical="top" wrapText="1"/>
      <protection locked="0"/>
    </xf>
    <xf numFmtId="0" fontId="33" fillId="2" borderId="26"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1" fillId="6" borderId="27" xfId="0" applyFont="1" applyFill="1" applyBorder="1" applyAlignment="1">
      <alignment horizontal="center" vertical="center"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40" xfId="0" applyFont="1" applyBorder="1" applyAlignment="1">
      <alignment horizontal="left" vertical="top" wrapText="1"/>
    </xf>
    <xf numFmtId="0" fontId="1" fillId="0" borderId="15" xfId="0" applyFont="1" applyBorder="1" applyAlignment="1">
      <alignment horizontal="left" vertical="top" wrapText="1"/>
    </xf>
    <xf numFmtId="0" fontId="1" fillId="0" borderId="41" xfId="0" applyFont="1" applyBorder="1" applyAlignment="1">
      <alignment horizontal="left" vertical="top" wrapText="1"/>
    </xf>
    <xf numFmtId="0" fontId="1" fillId="0" borderId="30" xfId="0" applyFont="1" applyBorder="1" applyAlignment="1">
      <alignment horizontal="left" vertical="top" wrapText="1"/>
    </xf>
    <xf numFmtId="0" fontId="1" fillId="7" borderId="30" xfId="0" applyFont="1" applyFill="1" applyBorder="1" applyAlignment="1">
      <alignment horizontal="center" vertical="top" wrapText="1"/>
    </xf>
    <xf numFmtId="0" fontId="32" fillId="5" borderId="4" xfId="0" applyFont="1" applyFill="1" applyBorder="1" applyAlignment="1">
      <alignment vertical="center" wrapText="1"/>
    </xf>
    <xf numFmtId="0" fontId="32" fillId="5" borderId="5" xfId="0" applyFont="1" applyFill="1" applyBorder="1" applyAlignment="1">
      <alignment vertical="center" wrapText="1"/>
    </xf>
    <xf numFmtId="0" fontId="32" fillId="5" borderId="9" xfId="0" applyFont="1" applyFill="1" applyBorder="1" applyAlignment="1">
      <alignment vertical="center" wrapText="1"/>
    </xf>
    <xf numFmtId="0" fontId="32" fillId="5" borderId="8" xfId="0" applyFont="1" applyFill="1" applyBorder="1" applyAlignment="1">
      <alignmen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0" xfId="0" applyFont="1" applyFill="1" applyAlignment="1">
      <alignment horizontal="left" vertical="center" wrapText="1"/>
    </xf>
    <xf numFmtId="43" fontId="2" fillId="0" borderId="15" xfId="2" applyFont="1" applyBorder="1" applyAlignment="1">
      <alignment horizontal="center"/>
    </xf>
    <xf numFmtId="43" fontId="2" fillId="0" borderId="29" xfId="2" applyFont="1" applyBorder="1" applyAlignment="1">
      <alignment horizontal="center"/>
    </xf>
    <xf numFmtId="0" fontId="31" fillId="6" borderId="28"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32" fillId="5" borderId="7" xfId="0" applyFont="1" applyFill="1" applyBorder="1" applyAlignment="1">
      <alignment vertical="center" wrapText="1"/>
    </xf>
    <xf numFmtId="9" fontId="2" fillId="0" borderId="15" xfId="3" applyFont="1" applyBorder="1" applyAlignment="1">
      <alignment horizontal="center"/>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43" fontId="2" fillId="0" borderId="23" xfId="2" applyFont="1" applyBorder="1" applyAlignment="1">
      <alignment horizontal="center"/>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32" fillId="5" borderId="10" xfId="0" applyFont="1" applyFill="1" applyBorder="1" applyAlignment="1">
      <alignment vertical="center" wrapText="1"/>
    </xf>
    <xf numFmtId="0" fontId="32" fillId="5" borderId="12" xfId="0" applyFont="1" applyFill="1" applyBorder="1" applyAlignment="1">
      <alignment vertical="center" wrapText="1"/>
    </xf>
    <xf numFmtId="0" fontId="32" fillId="5" borderId="0" xfId="0" applyFont="1" applyFill="1" applyAlignment="1">
      <alignment vertical="center" wrapText="1"/>
    </xf>
    <xf numFmtId="0" fontId="32" fillId="5" borderId="14" xfId="0" applyFont="1" applyFill="1" applyBorder="1" applyAlignment="1">
      <alignment vertical="center" wrapText="1"/>
    </xf>
    <xf numFmtId="0" fontId="1" fillId="2" borderId="1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43" fontId="2" fillId="0" borderId="15" xfId="2" applyFont="1" applyBorder="1" applyAlignment="1">
      <alignment horizontal="center" vertical="center"/>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7" borderId="15" xfId="0" applyFont="1" applyFill="1" applyBorder="1" applyAlignment="1">
      <alignment horizontal="center" vertical="center"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56" fillId="17" borderId="1" xfId="0" applyFont="1" applyFill="1" applyBorder="1" applyAlignment="1">
      <alignment vertical="center" wrapText="1"/>
    </xf>
    <xf numFmtId="0" fontId="56" fillId="17" borderId="2" xfId="0" applyFont="1" applyFill="1" applyBorder="1" applyAlignment="1">
      <alignment vertical="center" wrapText="1"/>
    </xf>
    <xf numFmtId="0" fontId="56" fillId="17" borderId="3" xfId="0" applyFont="1" applyFill="1" applyBorder="1" applyAlignment="1">
      <alignment vertical="center" wrapText="1"/>
    </xf>
    <xf numFmtId="0" fontId="1" fillId="3" borderId="6"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7" borderId="41" xfId="0" applyFont="1" applyFill="1" applyBorder="1" applyAlignment="1">
      <alignment horizontal="left" vertical="top" wrapText="1"/>
    </xf>
    <xf numFmtId="0" fontId="1" fillId="7" borderId="30" xfId="0" applyFont="1" applyFill="1" applyBorder="1" applyAlignment="1">
      <alignment horizontal="left" vertical="top" wrapText="1"/>
    </xf>
    <xf numFmtId="0" fontId="1" fillId="7" borderId="31" xfId="0" applyFont="1" applyFill="1" applyBorder="1" applyAlignment="1">
      <alignment horizontal="left" vertical="top" wrapText="1"/>
    </xf>
    <xf numFmtId="0" fontId="33" fillId="3" borderId="4" xfId="0" applyFont="1" applyFill="1" applyBorder="1" applyAlignment="1">
      <alignment vertical="center" wrapText="1"/>
    </xf>
    <xf numFmtId="0" fontId="33" fillId="3" borderId="6" xfId="0" applyFont="1" applyFill="1" applyBorder="1" applyAlignment="1">
      <alignmen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1" fillId="7" borderId="39"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7" borderId="28" xfId="0" applyFont="1" applyFill="1" applyBorder="1" applyAlignment="1">
      <alignment horizontal="left" vertical="top" wrapText="1"/>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14" fontId="1" fillId="2" borderId="4"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55" xfId="0" applyFont="1" applyFill="1" applyBorder="1" applyAlignment="1">
      <alignment horizontal="center" vertical="center" wrapText="1"/>
    </xf>
    <xf numFmtId="0" fontId="33" fillId="3" borderId="4" xfId="0" applyFont="1" applyFill="1" applyBorder="1" applyAlignment="1">
      <alignment horizontal="left" vertical="center" wrapText="1"/>
    </xf>
    <xf numFmtId="0" fontId="33" fillId="3" borderId="44" xfId="0" applyFont="1" applyFill="1" applyBorder="1" applyAlignment="1">
      <alignment horizontal="left" vertical="center" wrapText="1"/>
    </xf>
    <xf numFmtId="43" fontId="33" fillId="2" borderId="10" xfId="2" applyFont="1" applyFill="1" applyBorder="1" applyAlignment="1">
      <alignment horizontal="left" vertical="center" wrapText="1"/>
    </xf>
    <xf numFmtId="43" fontId="33" fillId="2" borderId="12" xfId="2" applyFont="1" applyFill="1" applyBorder="1" applyAlignment="1">
      <alignment horizontal="left" vertical="center" wrapText="1"/>
    </xf>
    <xf numFmtId="43" fontId="33" fillId="2" borderId="11" xfId="2"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0" xfId="0" applyFont="1" applyFill="1" applyAlignment="1">
      <alignment horizontal="left" vertical="center" wrapText="1"/>
    </xf>
    <xf numFmtId="0" fontId="1" fillId="6" borderId="4" xfId="0" applyFont="1" applyFill="1" applyBorder="1" applyAlignment="1">
      <alignment horizontal="left" vertical="center" wrapText="1"/>
    </xf>
    <xf numFmtId="0" fontId="1" fillId="6" borderId="6" xfId="0" applyFont="1" applyFill="1" applyBorder="1" applyAlignment="1">
      <alignment horizontal="left" vertical="center" wrapText="1"/>
    </xf>
    <xf numFmtId="43" fontId="2" fillId="0" borderId="40" xfId="2" applyFont="1" applyBorder="1" applyAlignment="1">
      <alignment horizontal="center"/>
    </xf>
    <xf numFmtId="0" fontId="33" fillId="7" borderId="7" xfId="0" applyFont="1" applyFill="1" applyBorder="1" applyAlignment="1">
      <alignment horizontal="left" vertical="top" wrapText="1"/>
    </xf>
    <xf numFmtId="0" fontId="33" fillId="7" borderId="9" xfId="0" applyFont="1" applyFill="1" applyBorder="1" applyAlignment="1">
      <alignment horizontal="left" vertical="top" wrapText="1"/>
    </xf>
    <xf numFmtId="0" fontId="33" fillId="7" borderId="13" xfId="0" applyFont="1" applyFill="1" applyBorder="1" applyAlignment="1">
      <alignment horizontal="left" vertical="top" wrapText="1"/>
    </xf>
    <xf numFmtId="0" fontId="33" fillId="7" borderId="0" xfId="0" applyFont="1" applyFill="1" applyAlignment="1">
      <alignment horizontal="left" vertical="top" wrapText="1"/>
    </xf>
    <xf numFmtId="0" fontId="33" fillId="7" borderId="38" xfId="0" applyFont="1" applyFill="1" applyBorder="1" applyAlignment="1">
      <alignment horizontal="center" vertical="top" wrapText="1"/>
    </xf>
    <xf numFmtId="0" fontId="33" fillId="7" borderId="17" xfId="0" applyFont="1" applyFill="1" applyBorder="1" applyAlignment="1">
      <alignment horizontal="center" vertical="top" wrapText="1"/>
    </xf>
    <xf numFmtId="0" fontId="33" fillId="7" borderId="56" xfId="0" applyFont="1" applyFill="1" applyBorder="1" applyAlignment="1">
      <alignment horizontal="center" vertical="top" wrapText="1"/>
    </xf>
    <xf numFmtId="0" fontId="33" fillId="7" borderId="10" xfId="0" applyFont="1" applyFill="1" applyBorder="1" applyAlignment="1">
      <alignment horizontal="center" vertical="top" wrapText="1"/>
    </xf>
    <xf numFmtId="0" fontId="33" fillId="7" borderId="12" xfId="0" applyFont="1" applyFill="1" applyBorder="1" applyAlignment="1">
      <alignment horizontal="center" vertical="top" wrapText="1"/>
    </xf>
    <xf numFmtId="0" fontId="33" fillId="7" borderId="11" xfId="0" applyFont="1" applyFill="1" applyBorder="1" applyAlignment="1">
      <alignment horizontal="center" vertical="top" wrapText="1"/>
    </xf>
    <xf numFmtId="0" fontId="32" fillId="5" borderId="6" xfId="0" applyFont="1" applyFill="1" applyBorder="1" applyAlignment="1">
      <alignment vertical="center" wrapText="1"/>
    </xf>
    <xf numFmtId="43" fontId="33" fillId="2" borderId="23" xfId="2" applyFont="1" applyFill="1" applyBorder="1" applyAlignment="1">
      <alignment horizontal="center" vertical="center" wrapText="1"/>
    </xf>
    <xf numFmtId="43" fontId="33" fillId="2" borderId="15" xfId="2" applyFont="1" applyFill="1" applyBorder="1" applyAlignment="1">
      <alignment horizontal="center" vertical="center" wrapText="1"/>
    </xf>
    <xf numFmtId="43" fontId="33" fillId="2" borderId="22" xfId="2" applyFont="1" applyFill="1" applyBorder="1" applyAlignment="1">
      <alignment horizontal="center" vertical="center" wrapText="1"/>
    </xf>
    <xf numFmtId="43" fontId="33" fillId="2" borderId="29" xfId="2" applyFont="1" applyFill="1" applyBorder="1" applyAlignment="1">
      <alignment horizontal="center" vertical="center" wrapText="1"/>
    </xf>
    <xf numFmtId="0" fontId="1" fillId="7" borderId="4" xfId="0" applyFont="1" applyFill="1" applyBorder="1" applyAlignment="1" applyProtection="1">
      <alignment horizontal="left" vertical="center" wrapText="1"/>
      <protection locked="0"/>
    </xf>
    <xf numFmtId="0" fontId="1" fillId="7" borderId="5" xfId="0" applyFont="1" applyFill="1" applyBorder="1" applyAlignment="1" applyProtection="1">
      <alignment horizontal="left" vertical="center" wrapText="1"/>
      <protection locked="0"/>
    </xf>
    <xf numFmtId="0" fontId="1" fillId="7" borderId="6" xfId="0" applyFont="1" applyFill="1" applyBorder="1" applyAlignment="1" applyProtection="1">
      <alignment horizontal="left" vertical="center" wrapText="1"/>
      <protection locked="0"/>
    </xf>
    <xf numFmtId="0" fontId="31" fillId="6" borderId="7"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31" fillId="6" borderId="43" xfId="0" applyFont="1" applyFill="1" applyBorder="1" applyAlignment="1">
      <alignment horizontal="center" vertical="center" wrapText="1"/>
    </xf>
    <xf numFmtId="43" fontId="33" fillId="2" borderId="18" xfId="2" applyFont="1" applyFill="1" applyBorder="1" applyAlignment="1">
      <alignment horizontal="center" vertical="center" wrapText="1"/>
    </xf>
    <xf numFmtId="43" fontId="33" fillId="2" borderId="24" xfId="2" applyFont="1" applyFill="1" applyBorder="1" applyAlignment="1">
      <alignment horizontal="center" vertical="center" wrapText="1"/>
    </xf>
    <xf numFmtId="43" fontId="33" fillId="2" borderId="16" xfId="2" applyFont="1" applyFill="1" applyBorder="1" applyAlignment="1">
      <alignment horizontal="center" vertical="center" wrapText="1"/>
    </xf>
    <xf numFmtId="43" fontId="33" fillId="2" borderId="42" xfId="2" applyFont="1" applyFill="1" applyBorder="1" applyAlignment="1">
      <alignment horizontal="center" vertical="center" wrapText="1"/>
    </xf>
    <xf numFmtId="0" fontId="33" fillId="7" borderId="52" xfId="0" applyFont="1" applyFill="1" applyBorder="1" applyAlignment="1">
      <alignment horizontal="left" vertical="top" wrapText="1"/>
    </xf>
    <xf numFmtId="0" fontId="33" fillId="7" borderId="46" xfId="0" applyFont="1" applyFill="1" applyBorder="1" applyAlignment="1">
      <alignment horizontal="left" vertical="top" wrapText="1"/>
    </xf>
    <xf numFmtId="165" fontId="33" fillId="2" borderId="10" xfId="2" applyNumberFormat="1" applyFont="1" applyFill="1" applyBorder="1" applyAlignment="1">
      <alignment horizontal="left" vertical="center" wrapText="1"/>
    </xf>
    <xf numFmtId="165" fontId="33" fillId="2" borderId="12" xfId="2" applyNumberFormat="1" applyFont="1" applyFill="1" applyBorder="1" applyAlignment="1">
      <alignment horizontal="left" vertical="center" wrapText="1"/>
    </xf>
    <xf numFmtId="165" fontId="33" fillId="2" borderId="11" xfId="2" applyNumberFormat="1" applyFont="1" applyFill="1" applyBorder="1" applyAlignment="1">
      <alignment horizontal="left" vertical="center" wrapText="1"/>
    </xf>
    <xf numFmtId="165" fontId="33" fillId="2" borderId="7" xfId="2" applyNumberFormat="1" applyFont="1" applyFill="1" applyBorder="1" applyAlignment="1">
      <alignment horizontal="left" vertical="center" wrapText="1"/>
    </xf>
    <xf numFmtId="165" fontId="33" fillId="2" borderId="9" xfId="2" applyNumberFormat="1" applyFont="1" applyFill="1" applyBorder="1" applyAlignment="1">
      <alignment horizontal="left" vertical="center" wrapText="1"/>
    </xf>
    <xf numFmtId="165" fontId="33" fillId="2" borderId="8" xfId="2" applyNumberFormat="1" applyFont="1" applyFill="1" applyBorder="1" applyAlignment="1">
      <alignment horizontal="left" vertical="center" wrapText="1"/>
    </xf>
    <xf numFmtId="43" fontId="33" fillId="2" borderId="4" xfId="2" applyFont="1" applyFill="1" applyBorder="1" applyAlignment="1">
      <alignment horizontal="left" vertical="center" wrapText="1"/>
    </xf>
    <xf numFmtId="43" fontId="33" fillId="2" borderId="5" xfId="2" applyFont="1" applyFill="1" applyBorder="1" applyAlignment="1">
      <alignment horizontal="left" vertical="center" wrapText="1"/>
    </xf>
    <xf numFmtId="43" fontId="33" fillId="2" borderId="6" xfId="2" applyFont="1" applyFill="1" applyBorder="1" applyAlignment="1">
      <alignment horizontal="left" vertical="center" wrapText="1"/>
    </xf>
    <xf numFmtId="0" fontId="4" fillId="7" borderId="38" xfId="0" applyFont="1" applyFill="1" applyBorder="1" applyAlignment="1">
      <alignment horizontal="right" vertical="top" wrapText="1"/>
    </xf>
    <xf numFmtId="0" fontId="4" fillId="7" borderId="33" xfId="0" applyFont="1" applyFill="1" applyBorder="1" applyAlignment="1">
      <alignment horizontal="right"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43" fontId="33" fillId="2" borderId="57" xfId="0" applyNumberFormat="1"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7" borderId="7" xfId="0" applyFont="1" applyFill="1" applyBorder="1" applyAlignment="1">
      <alignment horizontal="center" vertical="top" wrapText="1"/>
    </xf>
    <xf numFmtId="0" fontId="33" fillId="7" borderId="43" xfId="0" applyFont="1" applyFill="1" applyBorder="1" applyAlignment="1">
      <alignment horizontal="center" vertical="top" wrapText="1"/>
    </xf>
    <xf numFmtId="0" fontId="33" fillId="7" borderId="47" xfId="0" applyFont="1" applyFill="1" applyBorder="1" applyAlignment="1">
      <alignment horizontal="center" vertical="top" wrapText="1"/>
    </xf>
    <xf numFmtId="0" fontId="33" fillId="7" borderId="53" xfId="0" applyFont="1" applyFill="1" applyBorder="1" applyAlignment="1">
      <alignment horizontal="center" vertical="top" wrapText="1"/>
    </xf>
    <xf numFmtId="0" fontId="33" fillId="7" borderId="54" xfId="0" applyFont="1" applyFill="1" applyBorder="1" applyAlignment="1">
      <alignment horizontal="center" vertical="top"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33" fillId="7" borderId="12" xfId="0" applyFont="1" applyFill="1" applyBorder="1" applyAlignment="1">
      <alignment horizontal="left" vertical="top" wrapText="1"/>
    </xf>
    <xf numFmtId="0" fontId="33" fillId="7" borderId="47"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7" borderId="33" xfId="0" applyFont="1" applyFill="1" applyBorder="1" applyAlignment="1">
      <alignment horizontal="left" vertical="center" wrapText="1"/>
    </xf>
    <xf numFmtId="0" fontId="1" fillId="7" borderId="21" xfId="0" applyFont="1" applyFill="1" applyBorder="1" applyAlignment="1">
      <alignment horizontal="left" vertical="center" wrapText="1"/>
    </xf>
    <xf numFmtId="0" fontId="30" fillId="7" borderId="38" xfId="0" applyFont="1" applyFill="1" applyBorder="1" applyAlignment="1">
      <alignment horizontal="left"/>
    </xf>
    <xf numFmtId="0" fontId="30" fillId="7" borderId="18" xfId="0" applyFont="1" applyFill="1" applyBorder="1" applyAlignment="1">
      <alignment horizontal="left"/>
    </xf>
    <xf numFmtId="43" fontId="2" fillId="0" borderId="23" xfId="2" applyFont="1" applyBorder="1" applyAlignment="1">
      <alignment horizontal="center" vertical="center"/>
    </xf>
    <xf numFmtId="0" fontId="1" fillId="0" borderId="13" xfId="0" applyFont="1" applyBorder="1" applyAlignment="1">
      <alignment horizontal="left" vertical="center" wrapText="1"/>
    </xf>
    <xf numFmtId="0" fontId="1" fillId="0" borderId="32"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33" fillId="7" borderId="51" xfId="0" applyFont="1" applyFill="1" applyBorder="1" applyAlignment="1">
      <alignment horizontal="left" vertical="center" wrapText="1"/>
    </xf>
    <xf numFmtId="0" fontId="4" fillId="7" borderId="10" xfId="0" applyFont="1" applyFill="1" applyBorder="1" applyAlignment="1">
      <alignment horizontal="right" vertical="top" wrapText="1"/>
    </xf>
    <xf numFmtId="0" fontId="23" fillId="0" borderId="39"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23" fillId="0" borderId="50" xfId="0" applyFont="1" applyBorder="1" applyAlignment="1">
      <alignment horizontal="left" vertical="top" wrapText="1"/>
    </xf>
    <xf numFmtId="0" fontId="23" fillId="0" borderId="26" xfId="0" applyFont="1" applyBorder="1" applyAlignment="1">
      <alignment horizontal="left" vertical="top" wrapText="1"/>
    </xf>
    <xf numFmtId="0" fontId="23" fillId="0" borderId="48" xfId="0" applyFont="1" applyBorder="1" applyAlignment="1">
      <alignment horizontal="left" vertical="top" wrapText="1"/>
    </xf>
    <xf numFmtId="0" fontId="23" fillId="0" borderId="70" xfId="0" applyFont="1" applyBorder="1" applyAlignment="1">
      <alignment horizontal="left" vertical="top" wrapText="1"/>
    </xf>
    <xf numFmtId="0" fontId="23" fillId="0" borderId="71" xfId="0" applyFont="1" applyBorder="1" applyAlignment="1">
      <alignment horizontal="left" vertical="top" wrapText="1"/>
    </xf>
    <xf numFmtId="0" fontId="23" fillId="0" borderId="72" xfId="0" applyFont="1" applyBorder="1" applyAlignment="1">
      <alignment horizontal="left" vertical="top" wrapText="1"/>
    </xf>
    <xf numFmtId="0" fontId="1" fillId="7" borderId="30" xfId="0" applyFont="1" applyFill="1" applyBorder="1" applyAlignment="1">
      <alignment horizontal="center" vertical="center" wrapText="1"/>
    </xf>
    <xf numFmtId="0" fontId="0" fillId="0" borderId="0" xfId="0" applyAlignment="1">
      <alignment vertical="center"/>
    </xf>
    <xf numFmtId="0" fontId="52" fillId="14" borderId="61" xfId="0" applyFont="1" applyFill="1" applyBorder="1" applyAlignment="1">
      <alignment horizontal="left" vertical="center"/>
    </xf>
    <xf numFmtId="0" fontId="52" fillId="14" borderId="62" xfId="0" applyFont="1" applyFill="1" applyBorder="1" applyAlignment="1">
      <alignment horizontal="left" vertical="center"/>
    </xf>
    <xf numFmtId="0" fontId="52" fillId="14" borderId="63" xfId="0" applyFont="1" applyFill="1" applyBorder="1" applyAlignment="1">
      <alignment horizontal="left" vertical="center" wrapText="1"/>
    </xf>
    <xf numFmtId="0" fontId="52" fillId="14" borderId="65"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3" fillId="15" borderId="64" xfId="0" applyFont="1" applyFill="1" applyBorder="1" applyAlignment="1">
      <alignment horizontal="center" vertical="center"/>
    </xf>
    <xf numFmtId="0" fontId="53" fillId="15" borderId="66" xfId="0" applyFont="1" applyFill="1" applyBorder="1" applyAlignment="1">
      <alignment horizontal="center" vertical="center"/>
    </xf>
    <xf numFmtId="0" fontId="53" fillId="15" borderId="68" xfId="0" applyFont="1" applyFill="1" applyBorder="1" applyAlignment="1">
      <alignment horizontal="center" vertical="center"/>
    </xf>
  </cellXfs>
  <cellStyles count="4">
    <cellStyle name="Hyperlink" xfId="1" builtinId="8"/>
    <cellStyle name="Komma" xfId="2" builtinId="3"/>
    <cellStyle name="Procent" xfId="3" builtinId="5"/>
    <cellStyle name="Standaard" xfId="0" builtinId="0"/>
  </cellStyles>
  <dxfs count="2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auto="1"/>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18</xdr:row>
      <xdr:rowOff>42722</xdr:rowOff>
    </xdr:from>
    <xdr:to>
      <xdr:col>5</xdr:col>
      <xdr:colOff>1312334</xdr:colOff>
      <xdr:row>28</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220134</xdr:colOff>
      <xdr:row>0</xdr:row>
      <xdr:rowOff>14607</xdr:rowOff>
    </xdr:from>
    <xdr:to>
      <xdr:col>15</xdr:col>
      <xdr:colOff>741</xdr:colOff>
      <xdr:row>1</xdr:row>
      <xdr:rowOff>183740</xdr:rowOff>
    </xdr:to>
    <xdr:pic>
      <xdr:nvPicPr>
        <xdr:cNvPr id="2" name="Picture 1" descr="Resultado de imagen de ecn part of tno logo">
          <a:extLst>
            <a:ext uri="{FF2B5EF4-FFF2-40B4-BE49-F238E27FC236}">
              <a16:creationId xmlns:a16="http://schemas.microsoft.com/office/drawing/2014/main" id="{8FB023B0-139B-488A-A53B-B51892D5DEC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10052051" y="14607"/>
          <a:ext cx="3124940" cy="423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561975</xdr:colOff>
      <xdr:row>33</xdr:row>
      <xdr:rowOff>57150</xdr:rowOff>
    </xdr:from>
    <xdr:to>
      <xdr:col>9</xdr:col>
      <xdr:colOff>514350</xdr:colOff>
      <xdr:row>57</xdr:row>
      <xdr:rowOff>9525</xdr:rowOff>
    </xdr:to>
    <xdr:pic>
      <xdr:nvPicPr>
        <xdr:cNvPr id="2" name="Picture 1">
          <a:extLst>
            <a:ext uri="{FF2B5EF4-FFF2-40B4-BE49-F238E27FC236}">
              <a16:creationId xmlns:a16="http://schemas.microsoft.com/office/drawing/2014/main" id="{12BFD5CB-E807-411B-A927-04A8D15DB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6686550"/>
          <a:ext cx="7496175"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6</xdr:row>
      <xdr:rowOff>0</xdr:rowOff>
    </xdr:from>
    <xdr:to>
      <xdr:col>22</xdr:col>
      <xdr:colOff>266700</xdr:colOff>
      <xdr:row>29</xdr:row>
      <xdr:rowOff>152400</xdr:rowOff>
    </xdr:to>
    <xdr:pic>
      <xdr:nvPicPr>
        <xdr:cNvPr id="4" name="Picture 3">
          <a:extLst>
            <a:ext uri="{FF2B5EF4-FFF2-40B4-BE49-F238E27FC236}">
              <a16:creationId xmlns:a16="http://schemas.microsoft.com/office/drawing/2014/main" id="{8A03658B-7D5F-41D7-836E-40860184E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228725"/>
          <a:ext cx="7496175"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30"/>
  <sheetViews>
    <sheetView topLeftCell="A87" zoomScale="80" zoomScaleNormal="80" workbookViewId="0">
      <selection activeCell="D103" sqref="D103"/>
    </sheetView>
  </sheetViews>
  <sheetFormatPr defaultColWidth="11" defaultRowHeight="15.5" x14ac:dyDescent="0.35"/>
  <cols>
    <col min="1" max="1" width="11" style="1"/>
    <col min="2" max="2" width="23.83203125" style="1" customWidth="1"/>
    <col min="3" max="3" width="5.75" style="1" customWidth="1"/>
    <col min="4" max="4" width="77.33203125" style="1" customWidth="1"/>
    <col min="5" max="5" width="5.75" style="1" customWidth="1"/>
    <col min="6" max="6" width="94.83203125" style="1" customWidth="1"/>
    <col min="7" max="20" width="11" style="1"/>
    <col min="21" max="21" width="10.83203125" style="1" customWidth="1"/>
    <col min="22" max="16384" width="11" style="1"/>
  </cols>
  <sheetData>
    <row r="1" spans="1:6" ht="21" x14ac:dyDescent="0.5">
      <c r="A1" s="3" t="s">
        <v>0</v>
      </c>
    </row>
    <row r="3" spans="1:6" ht="15.75" customHeight="1" x14ac:dyDescent="0.35">
      <c r="A3" s="5" t="s">
        <v>1</v>
      </c>
      <c r="B3" s="16" t="s">
        <v>2</v>
      </c>
    </row>
    <row r="4" spans="1:6" ht="15.75" customHeight="1" x14ac:dyDescent="0.35">
      <c r="A4" s="5" t="s">
        <v>1</v>
      </c>
      <c r="B4" s="16" t="s">
        <v>3</v>
      </c>
    </row>
    <row r="5" spans="1:6" ht="15.75" customHeight="1" x14ac:dyDescent="0.35">
      <c r="A5" s="5" t="s">
        <v>1</v>
      </c>
      <c r="B5" s="16" t="s">
        <v>4</v>
      </c>
      <c r="F5" s="39"/>
    </row>
    <row r="6" spans="1:6" ht="15.75" customHeight="1" x14ac:dyDescent="0.45">
      <c r="A6" s="5" t="s">
        <v>1</v>
      </c>
      <c r="B6" s="16" t="s">
        <v>5</v>
      </c>
      <c r="C6" s="4"/>
    </row>
    <row r="7" spans="1:6" ht="15.75" customHeight="1" x14ac:dyDescent="0.45">
      <c r="A7" s="5" t="s">
        <v>1</v>
      </c>
      <c r="B7" s="16" t="s">
        <v>6</v>
      </c>
      <c r="C7" s="4"/>
    </row>
    <row r="8" spans="1:6" ht="15.75" customHeight="1" x14ac:dyDescent="0.45">
      <c r="A8" s="5" t="s">
        <v>1</v>
      </c>
      <c r="B8" s="16" t="s">
        <v>7</v>
      </c>
      <c r="C8" s="4"/>
    </row>
    <row r="9" spans="1:6" ht="15.75" customHeight="1" x14ac:dyDescent="0.45">
      <c r="A9" s="5" t="s">
        <v>1</v>
      </c>
      <c r="B9" s="16" t="s">
        <v>8</v>
      </c>
      <c r="C9" s="4"/>
    </row>
    <row r="10" spans="1:6" ht="15.75" customHeight="1" x14ac:dyDescent="0.45">
      <c r="A10" s="5" t="s">
        <v>1</v>
      </c>
      <c r="B10" s="16" t="s">
        <v>9</v>
      </c>
      <c r="C10" s="4"/>
    </row>
    <row r="11" spans="1:6" ht="21" x14ac:dyDescent="0.5">
      <c r="A11" s="3"/>
      <c r="B11" s="2"/>
      <c r="C11" s="2"/>
    </row>
    <row r="12" spans="1:6" ht="18.5" x14ac:dyDescent="0.45">
      <c r="B12" s="55" t="s">
        <v>10</v>
      </c>
      <c r="C12" s="198" t="s">
        <v>11</v>
      </c>
      <c r="D12" s="199"/>
      <c r="E12" s="198" t="s">
        <v>12</v>
      </c>
      <c r="F12" s="200"/>
    </row>
    <row r="13" spans="1:6" ht="15.75" customHeight="1" x14ac:dyDescent="0.35">
      <c r="B13" s="205" t="s">
        <v>13</v>
      </c>
      <c r="C13" s="36" t="s">
        <v>1</v>
      </c>
      <c r="D13" s="37" t="s">
        <v>14</v>
      </c>
      <c r="E13" s="22" t="s">
        <v>1</v>
      </c>
      <c r="F13" s="25" t="s">
        <v>15</v>
      </c>
    </row>
    <row r="14" spans="1:6" ht="15.75" customHeight="1" x14ac:dyDescent="0.35">
      <c r="B14" s="206"/>
      <c r="C14" s="47"/>
      <c r="D14" s="30"/>
      <c r="E14" s="48" t="s">
        <v>1</v>
      </c>
      <c r="F14" s="54" t="s">
        <v>16</v>
      </c>
    </row>
    <row r="15" spans="1:6" ht="15.75" customHeight="1" x14ac:dyDescent="0.35">
      <c r="B15" s="21" t="s">
        <v>17</v>
      </c>
      <c r="C15" s="11" t="s">
        <v>1</v>
      </c>
      <c r="D15" s="40" t="s">
        <v>18</v>
      </c>
      <c r="E15" s="84"/>
      <c r="F15" s="81"/>
    </row>
    <row r="16" spans="1:6" ht="31" x14ac:dyDescent="0.35">
      <c r="B16" s="167" t="s">
        <v>19</v>
      </c>
      <c r="C16" s="36" t="s">
        <v>1</v>
      </c>
      <c r="D16" s="44" t="s">
        <v>20</v>
      </c>
      <c r="E16" s="34" t="s">
        <v>1</v>
      </c>
      <c r="F16" s="85" t="s">
        <v>21</v>
      </c>
    </row>
    <row r="17" spans="2:16" ht="15.75" customHeight="1" x14ac:dyDescent="0.35">
      <c r="B17" s="166" t="s">
        <v>22</v>
      </c>
      <c r="C17" s="36" t="s">
        <v>1</v>
      </c>
      <c r="D17" s="41" t="s">
        <v>23</v>
      </c>
      <c r="E17" s="36" t="s">
        <v>1</v>
      </c>
      <c r="F17" s="18" t="s">
        <v>24</v>
      </c>
    </row>
    <row r="18" spans="2:16" ht="15.75" customHeight="1" x14ac:dyDescent="0.35">
      <c r="B18" s="207" t="s">
        <v>25</v>
      </c>
      <c r="C18" s="11" t="s">
        <v>1</v>
      </c>
      <c r="D18" s="41" t="s">
        <v>26</v>
      </c>
      <c r="E18" s="36" t="s">
        <v>1</v>
      </c>
      <c r="F18" s="18" t="s">
        <v>27</v>
      </c>
    </row>
    <row r="19" spans="2:16" ht="15.75" customHeight="1" x14ac:dyDescent="0.35">
      <c r="B19" s="208"/>
      <c r="C19" s="12"/>
      <c r="D19" s="42"/>
      <c r="E19" s="46"/>
      <c r="F19" s="28"/>
    </row>
    <row r="20" spans="2:16" ht="15.75" customHeight="1" x14ac:dyDescent="0.35">
      <c r="B20" s="208"/>
      <c r="C20" s="20"/>
      <c r="D20" s="43" t="s">
        <v>28</v>
      </c>
      <c r="E20" s="46"/>
      <c r="F20" s="28"/>
    </row>
    <row r="21" spans="2:16" ht="15.75" customHeight="1" x14ac:dyDescent="0.35">
      <c r="B21" s="208"/>
      <c r="C21" s="20" t="s">
        <v>29</v>
      </c>
      <c r="D21" s="42" t="s">
        <v>30</v>
      </c>
      <c r="E21" s="46"/>
      <c r="F21" s="28"/>
    </row>
    <row r="22" spans="2:16" ht="15.75" customHeight="1" x14ac:dyDescent="0.35">
      <c r="B22" s="208"/>
      <c r="C22" s="20" t="s">
        <v>31</v>
      </c>
      <c r="D22" s="42" t="s">
        <v>32</v>
      </c>
      <c r="E22" s="46"/>
      <c r="F22" s="28"/>
    </row>
    <row r="23" spans="2:16" ht="15.75" customHeight="1" x14ac:dyDescent="0.35">
      <c r="B23" s="208"/>
      <c r="C23" s="20" t="s">
        <v>33</v>
      </c>
      <c r="D23" s="42" t="s">
        <v>34</v>
      </c>
      <c r="E23" s="46"/>
      <c r="F23" s="28"/>
    </row>
    <row r="24" spans="2:16" ht="15.75" customHeight="1" x14ac:dyDescent="0.35">
      <c r="B24" s="208"/>
      <c r="C24" s="20" t="s">
        <v>35</v>
      </c>
      <c r="D24" s="42" t="s">
        <v>36</v>
      </c>
      <c r="E24" s="46"/>
      <c r="F24" s="28"/>
    </row>
    <row r="25" spans="2:16" ht="15.75" customHeight="1" x14ac:dyDescent="0.35">
      <c r="B25" s="208"/>
      <c r="C25" s="20" t="s">
        <v>37</v>
      </c>
      <c r="D25" s="42" t="s">
        <v>38</v>
      </c>
      <c r="E25" s="46"/>
      <c r="F25" s="28"/>
    </row>
    <row r="26" spans="2:16" ht="15.75" customHeight="1" x14ac:dyDescent="0.35">
      <c r="B26" s="208"/>
      <c r="C26" s="20" t="s">
        <v>39</v>
      </c>
      <c r="D26" s="42" t="s">
        <v>40</v>
      </c>
      <c r="E26" s="46"/>
      <c r="F26" s="28"/>
    </row>
    <row r="27" spans="2:16" ht="15.75" customHeight="1" x14ac:dyDescent="0.35">
      <c r="B27" s="208"/>
      <c r="C27" s="20" t="s">
        <v>41</v>
      </c>
      <c r="D27" s="42" t="s">
        <v>42</v>
      </c>
      <c r="E27" s="46"/>
      <c r="F27" s="28"/>
    </row>
    <row r="28" spans="2:16" ht="15.75" customHeight="1" x14ac:dyDescent="0.35">
      <c r="B28" s="208"/>
      <c r="C28" s="20" t="s">
        <v>43</v>
      </c>
      <c r="D28" s="42" t="s">
        <v>44</v>
      </c>
      <c r="E28" s="46"/>
      <c r="F28" s="28"/>
    </row>
    <row r="29" spans="2:16" ht="15.75" customHeight="1" x14ac:dyDescent="0.35">
      <c r="B29" s="208"/>
      <c r="C29" s="20" t="s">
        <v>45</v>
      </c>
      <c r="D29" s="42" t="s">
        <v>46</v>
      </c>
      <c r="E29" s="47"/>
      <c r="F29" s="30"/>
    </row>
    <row r="30" spans="2:16" ht="18.5" x14ac:dyDescent="0.35">
      <c r="B30" s="194" t="s">
        <v>47</v>
      </c>
      <c r="C30" s="195"/>
      <c r="D30" s="195"/>
      <c r="E30" s="195"/>
      <c r="F30" s="201"/>
      <c r="G30" s="7"/>
      <c r="H30" s="7"/>
      <c r="I30" s="7"/>
      <c r="J30" s="7"/>
      <c r="K30" s="7"/>
      <c r="L30" s="7"/>
      <c r="M30" s="7"/>
      <c r="N30" s="7"/>
      <c r="O30" s="7"/>
      <c r="P30" s="7"/>
    </row>
    <row r="31" spans="2:16" ht="31" x14ac:dyDescent="0.35">
      <c r="B31" s="209" t="s">
        <v>48</v>
      </c>
      <c r="C31" s="36" t="s">
        <v>1</v>
      </c>
      <c r="D31" s="37" t="s">
        <v>49</v>
      </c>
      <c r="E31" s="36" t="s">
        <v>1</v>
      </c>
      <c r="F31" s="18" t="s">
        <v>50</v>
      </c>
    </row>
    <row r="32" spans="2:16" ht="33.75" customHeight="1" x14ac:dyDescent="0.35">
      <c r="B32" s="210"/>
      <c r="C32" s="48"/>
      <c r="D32" s="86"/>
      <c r="E32" s="22" t="s">
        <v>1</v>
      </c>
      <c r="F32" s="19" t="s">
        <v>51</v>
      </c>
    </row>
    <row r="33" spans="2:16" x14ac:dyDescent="0.35">
      <c r="B33" s="211" t="s">
        <v>52</v>
      </c>
      <c r="C33" s="36" t="s">
        <v>1</v>
      </c>
      <c r="D33" s="44" t="s">
        <v>53</v>
      </c>
      <c r="E33" s="36" t="s">
        <v>1</v>
      </c>
      <c r="F33" s="8" t="s">
        <v>54</v>
      </c>
    </row>
    <row r="34" spans="2:16" ht="31" x14ac:dyDescent="0.35">
      <c r="B34" s="212"/>
      <c r="C34" s="12"/>
      <c r="D34" s="100"/>
      <c r="E34" s="22" t="s">
        <v>1</v>
      </c>
      <c r="F34" s="9" t="s">
        <v>55</v>
      </c>
    </row>
    <row r="35" spans="2:16" x14ac:dyDescent="0.35">
      <c r="B35" s="164"/>
      <c r="C35" s="12"/>
      <c r="D35" s="100"/>
      <c r="E35" s="13" t="s">
        <v>1</v>
      </c>
      <c r="F35" s="10" t="s">
        <v>56</v>
      </c>
    </row>
    <row r="36" spans="2:16" ht="31" x14ac:dyDescent="0.35">
      <c r="B36" s="163" t="s">
        <v>57</v>
      </c>
      <c r="C36" s="36" t="s">
        <v>1</v>
      </c>
      <c r="D36" s="37" t="s">
        <v>58</v>
      </c>
      <c r="E36" s="22" t="s">
        <v>1</v>
      </c>
      <c r="F36" s="9" t="s">
        <v>59</v>
      </c>
    </row>
    <row r="37" spans="2:16" x14ac:dyDescent="0.35">
      <c r="B37" s="164"/>
      <c r="C37" s="48"/>
      <c r="D37" s="52"/>
      <c r="E37" s="13" t="s">
        <v>1</v>
      </c>
      <c r="F37" s="10" t="s">
        <v>60</v>
      </c>
    </row>
    <row r="38" spans="2:16" ht="15.75" customHeight="1" x14ac:dyDescent="0.35">
      <c r="B38" s="211" t="s">
        <v>61</v>
      </c>
      <c r="C38" s="12" t="s">
        <v>1</v>
      </c>
      <c r="D38" s="39" t="s">
        <v>62</v>
      </c>
      <c r="E38" s="12" t="s">
        <v>1</v>
      </c>
      <c r="F38" s="89" t="s">
        <v>63</v>
      </c>
    </row>
    <row r="39" spans="2:16" ht="31" x14ac:dyDescent="0.35">
      <c r="B39" s="212"/>
      <c r="C39" s="22" t="s">
        <v>1</v>
      </c>
      <c r="D39" s="83" t="s">
        <v>64</v>
      </c>
      <c r="E39" s="22" t="s">
        <v>1</v>
      </c>
      <c r="F39" s="9" t="s">
        <v>65</v>
      </c>
    </row>
    <row r="40" spans="2:16" ht="34.5" customHeight="1" x14ac:dyDescent="0.35">
      <c r="B40" s="21" t="s">
        <v>66</v>
      </c>
      <c r="C40" s="34" t="s">
        <v>1</v>
      </c>
      <c r="D40" s="82" t="s">
        <v>67</v>
      </c>
      <c r="E40" s="34" t="s">
        <v>1</v>
      </c>
      <c r="F40" s="81" t="s">
        <v>68</v>
      </c>
    </row>
    <row r="41" spans="2:16" ht="31" x14ac:dyDescent="0.35">
      <c r="B41" s="51" t="s">
        <v>69</v>
      </c>
      <c r="C41" s="36" t="s">
        <v>1</v>
      </c>
      <c r="D41" s="44" t="s">
        <v>70</v>
      </c>
      <c r="E41" s="115"/>
      <c r="F41" s="116"/>
    </row>
    <row r="42" spans="2:16" x14ac:dyDescent="0.35">
      <c r="B42" s="117" t="s">
        <v>71</v>
      </c>
      <c r="C42" s="11" t="s">
        <v>1</v>
      </c>
      <c r="D42" s="44" t="s">
        <v>72</v>
      </c>
      <c r="E42" s="36" t="s">
        <v>1</v>
      </c>
      <c r="F42" s="8" t="s">
        <v>73</v>
      </c>
    </row>
    <row r="43" spans="2:16" x14ac:dyDescent="0.35">
      <c r="B43" s="205" t="s">
        <v>74</v>
      </c>
      <c r="C43" s="36" t="s">
        <v>1</v>
      </c>
      <c r="D43" s="44" t="s">
        <v>75</v>
      </c>
      <c r="E43" s="36" t="s">
        <v>1</v>
      </c>
      <c r="F43" s="8" t="s">
        <v>76</v>
      </c>
    </row>
    <row r="44" spans="2:16" x14ac:dyDescent="0.35">
      <c r="B44" s="206"/>
      <c r="C44" s="48" t="s">
        <v>1</v>
      </c>
      <c r="D44" s="114" t="s">
        <v>77</v>
      </c>
      <c r="E44" s="48" t="s">
        <v>1</v>
      </c>
      <c r="F44" s="119" t="s">
        <v>78</v>
      </c>
    </row>
    <row r="45" spans="2:16" ht="31" x14ac:dyDescent="0.35">
      <c r="B45" s="21" t="s">
        <v>79</v>
      </c>
      <c r="C45" s="22" t="s">
        <v>1</v>
      </c>
      <c r="D45" s="39" t="s">
        <v>80</v>
      </c>
      <c r="E45" s="47"/>
      <c r="F45" s="30"/>
    </row>
    <row r="46" spans="2:16" ht="243" customHeight="1" x14ac:dyDescent="0.35">
      <c r="B46" s="51" t="s">
        <v>81</v>
      </c>
      <c r="C46" s="36" t="s">
        <v>1</v>
      </c>
      <c r="D46" s="44" t="s">
        <v>82</v>
      </c>
      <c r="E46" s="46"/>
      <c r="F46" s="28"/>
      <c r="G46" s="104"/>
    </row>
    <row r="47" spans="2:16" ht="15.75" customHeight="1" x14ac:dyDescent="0.35">
      <c r="B47" s="163" t="s">
        <v>83</v>
      </c>
      <c r="C47" s="11" t="s">
        <v>1</v>
      </c>
      <c r="D47" s="40" t="s">
        <v>84</v>
      </c>
      <c r="E47" s="14" t="s">
        <v>1</v>
      </c>
      <c r="F47" s="49" t="s">
        <v>85</v>
      </c>
      <c r="G47" s="104"/>
    </row>
    <row r="48" spans="2:16" ht="18.5" x14ac:dyDescent="0.35">
      <c r="B48" s="202" t="s">
        <v>86</v>
      </c>
      <c r="C48" s="203"/>
      <c r="D48" s="203"/>
      <c r="E48" s="203"/>
      <c r="F48" s="204"/>
      <c r="G48" s="7"/>
      <c r="H48" s="7"/>
      <c r="I48" s="7"/>
      <c r="J48" s="7"/>
      <c r="K48" s="7"/>
      <c r="L48" s="7"/>
      <c r="M48" s="7"/>
      <c r="N48" s="7"/>
      <c r="O48" s="7"/>
      <c r="P48" s="7"/>
    </row>
    <row r="49" spans="2:16" ht="31" x14ac:dyDescent="0.35">
      <c r="B49" s="94" t="s">
        <v>87</v>
      </c>
      <c r="C49" s="36" t="s">
        <v>1</v>
      </c>
      <c r="D49" s="44" t="s">
        <v>88</v>
      </c>
      <c r="E49" s="34" t="s">
        <v>1</v>
      </c>
      <c r="F49" s="93" t="s">
        <v>89</v>
      </c>
    </row>
    <row r="50" spans="2:16" ht="31" x14ac:dyDescent="0.35">
      <c r="B50" s="209" t="s">
        <v>90</v>
      </c>
      <c r="C50" s="36" t="s">
        <v>1</v>
      </c>
      <c r="D50" s="23" t="s">
        <v>91</v>
      </c>
      <c r="E50" s="53" t="s">
        <v>1</v>
      </c>
      <c r="F50" s="37" t="s">
        <v>92</v>
      </c>
    </row>
    <row r="51" spans="2:16" x14ac:dyDescent="0.35">
      <c r="B51" s="210"/>
      <c r="C51" s="22" t="s">
        <v>1</v>
      </c>
      <c r="D51" s="213" t="s">
        <v>93</v>
      </c>
      <c r="E51" s="22" t="s">
        <v>1</v>
      </c>
      <c r="F51" s="1" t="s">
        <v>94</v>
      </c>
    </row>
    <row r="52" spans="2:16" ht="33" customHeight="1" x14ac:dyDescent="0.35">
      <c r="B52" s="165"/>
      <c r="C52" s="22"/>
      <c r="D52" s="214"/>
      <c r="E52" s="22" t="s">
        <v>1</v>
      </c>
      <c r="F52" s="118" t="s">
        <v>95</v>
      </c>
    </row>
    <row r="53" spans="2:16" ht="15.75" customHeight="1" x14ac:dyDescent="0.35">
      <c r="B53" s="207" t="s">
        <v>96</v>
      </c>
      <c r="C53" s="11" t="s">
        <v>1</v>
      </c>
      <c r="D53" s="45" t="s">
        <v>97</v>
      </c>
      <c r="E53" s="36" t="s">
        <v>1</v>
      </c>
      <c r="F53" s="8" t="s">
        <v>98</v>
      </c>
    </row>
    <row r="54" spans="2:16" x14ac:dyDescent="0.35">
      <c r="B54" s="208"/>
      <c r="E54" s="12" t="s">
        <v>1</v>
      </c>
      <c r="F54" s="9" t="s">
        <v>99</v>
      </c>
    </row>
    <row r="55" spans="2:16" x14ac:dyDescent="0.35">
      <c r="B55" s="217"/>
      <c r="E55" s="47"/>
      <c r="F55" s="30"/>
    </row>
    <row r="56" spans="2:16" ht="31" x14ac:dyDescent="0.35">
      <c r="B56" s="166" t="s">
        <v>100</v>
      </c>
      <c r="C56" s="36" t="s">
        <v>1</v>
      </c>
      <c r="D56" s="44" t="s">
        <v>101</v>
      </c>
      <c r="E56" s="36" t="s">
        <v>1</v>
      </c>
      <c r="F56" s="37" t="s">
        <v>99</v>
      </c>
    </row>
    <row r="57" spans="2:16" ht="15.75" customHeight="1" x14ac:dyDescent="0.35">
      <c r="B57" s="166" t="s">
        <v>102</v>
      </c>
      <c r="C57" s="14" t="s">
        <v>1</v>
      </c>
      <c r="D57" s="49" t="s">
        <v>103</v>
      </c>
      <c r="E57" s="14" t="s">
        <v>1</v>
      </c>
      <c r="F57" s="49" t="s">
        <v>99</v>
      </c>
    </row>
    <row r="58" spans="2:16" ht="18.5" x14ac:dyDescent="0.35">
      <c r="B58" s="194" t="s">
        <v>104</v>
      </c>
      <c r="C58" s="195"/>
      <c r="D58" s="195"/>
      <c r="E58" s="195"/>
      <c r="F58" s="201"/>
      <c r="G58" s="7"/>
      <c r="H58" s="7"/>
      <c r="I58" s="7"/>
      <c r="J58" s="7"/>
      <c r="K58" s="7"/>
      <c r="L58" s="7"/>
      <c r="M58" s="7"/>
      <c r="N58" s="7"/>
      <c r="O58" s="7"/>
      <c r="P58" s="7"/>
    </row>
    <row r="59" spans="2:16" ht="31" x14ac:dyDescent="0.35">
      <c r="B59" s="210" t="s">
        <v>105</v>
      </c>
      <c r="C59" s="22" t="s">
        <v>1</v>
      </c>
      <c r="D59" s="42" t="s">
        <v>106</v>
      </c>
      <c r="E59" s="22" t="s">
        <v>1</v>
      </c>
      <c r="F59" s="97" t="s">
        <v>107</v>
      </c>
      <c r="H59" s="95"/>
    </row>
    <row r="60" spans="2:16" ht="48.5" x14ac:dyDescent="0.35">
      <c r="B60" s="210"/>
      <c r="C60" s="22" t="s">
        <v>1</v>
      </c>
      <c r="D60" s="42" t="s">
        <v>108</v>
      </c>
      <c r="E60" s="22" t="s">
        <v>1</v>
      </c>
      <c r="F60" s="97" t="s">
        <v>109</v>
      </c>
      <c r="H60" s="96"/>
    </row>
    <row r="61" spans="2:16" ht="31" x14ac:dyDescent="0.35">
      <c r="B61" s="210"/>
      <c r="C61" s="22"/>
      <c r="E61" s="48" t="s">
        <v>1</v>
      </c>
      <c r="F61" s="17" t="s">
        <v>110</v>
      </c>
    </row>
    <row r="62" spans="2:16" ht="18.5" x14ac:dyDescent="0.35">
      <c r="B62" s="194" t="s">
        <v>111</v>
      </c>
      <c r="C62" s="195"/>
      <c r="D62" s="195"/>
      <c r="E62" s="195"/>
      <c r="F62" s="201"/>
      <c r="G62" s="7"/>
      <c r="H62" s="7"/>
      <c r="I62" s="7"/>
      <c r="J62" s="7"/>
      <c r="K62" s="7"/>
      <c r="L62" s="7"/>
      <c r="M62" s="7"/>
      <c r="N62" s="7"/>
      <c r="O62" s="7"/>
      <c r="P62" s="7"/>
    </row>
    <row r="63" spans="2:16" ht="46.5" x14ac:dyDescent="0.35">
      <c r="B63" s="165" t="s">
        <v>112</v>
      </c>
      <c r="C63" s="22" t="s">
        <v>1</v>
      </c>
      <c r="D63" s="112" t="s">
        <v>113</v>
      </c>
      <c r="E63" s="34" t="s">
        <v>1</v>
      </c>
      <c r="F63" s="50" t="s">
        <v>114</v>
      </c>
    </row>
    <row r="64" spans="2:16" ht="15.75" customHeight="1" x14ac:dyDescent="0.35">
      <c r="B64" s="202" t="s">
        <v>115</v>
      </c>
      <c r="C64" s="203"/>
      <c r="D64" s="203"/>
      <c r="E64" s="203"/>
      <c r="F64" s="204"/>
      <c r="G64" s="7"/>
      <c r="H64" s="7"/>
      <c r="I64" s="7"/>
      <c r="J64" s="7"/>
      <c r="K64" s="7"/>
      <c r="L64" s="7"/>
      <c r="M64" s="7"/>
      <c r="N64" s="7"/>
      <c r="O64" s="7"/>
      <c r="P64" s="7"/>
    </row>
    <row r="65" spans="2:16" ht="31" x14ac:dyDescent="0.35">
      <c r="B65" s="209" t="s">
        <v>116</v>
      </c>
      <c r="C65" s="36" t="s">
        <v>1</v>
      </c>
      <c r="D65" s="41" t="s">
        <v>117</v>
      </c>
      <c r="E65" s="36" t="s">
        <v>1</v>
      </c>
      <c r="F65" s="18" t="s">
        <v>118</v>
      </c>
    </row>
    <row r="66" spans="2:16" ht="31" x14ac:dyDescent="0.35">
      <c r="B66" s="210"/>
      <c r="C66" s="46"/>
      <c r="E66" s="48" t="s">
        <v>1</v>
      </c>
      <c r="F66" s="17" t="s">
        <v>119</v>
      </c>
    </row>
    <row r="67" spans="2:16" ht="15.75" customHeight="1" x14ac:dyDescent="0.35">
      <c r="B67" s="194" t="s">
        <v>120</v>
      </c>
      <c r="C67" s="195"/>
      <c r="D67" s="195"/>
      <c r="E67" s="196"/>
      <c r="F67" s="197"/>
    </row>
    <row r="68" spans="2:16" ht="31.5" customHeight="1" x14ac:dyDescent="0.35">
      <c r="B68" s="34" t="s">
        <v>1</v>
      </c>
      <c r="C68" s="215" t="s">
        <v>121</v>
      </c>
      <c r="D68" s="215"/>
      <c r="E68" s="215"/>
      <c r="F68" s="216"/>
    </row>
    <row r="69" spans="2:16" x14ac:dyDescent="0.35">
      <c r="B69" s="34" t="s">
        <v>1</v>
      </c>
      <c r="C69" s="215" t="s">
        <v>122</v>
      </c>
      <c r="D69" s="215"/>
      <c r="E69" s="215"/>
      <c r="F69" s="216"/>
    </row>
    <row r="70" spans="2:16" x14ac:dyDescent="0.35">
      <c r="B70" s="6"/>
      <c r="C70" s="6"/>
      <c r="D70" s="6"/>
    </row>
    <row r="71" spans="2:16" ht="18.5" x14ac:dyDescent="0.45">
      <c r="B71" s="198" t="s">
        <v>123</v>
      </c>
      <c r="C71" s="199"/>
      <c r="D71" s="200"/>
    </row>
    <row r="72" spans="2:16" x14ac:dyDescent="0.35">
      <c r="B72" s="31" t="s">
        <v>124</v>
      </c>
      <c r="C72" s="27"/>
      <c r="D72" s="8" t="s">
        <v>125</v>
      </c>
    </row>
    <row r="73" spans="2:16" ht="15.75" customHeight="1" x14ac:dyDescent="0.35">
      <c r="B73" s="32" t="s">
        <v>126</v>
      </c>
      <c r="C73" s="26"/>
      <c r="D73" s="19" t="s">
        <v>127</v>
      </c>
    </row>
    <row r="74" spans="2:16" x14ac:dyDescent="0.35">
      <c r="B74" s="32" t="s">
        <v>128</v>
      </c>
      <c r="C74" s="6"/>
      <c r="D74" s="24" t="s">
        <v>129</v>
      </c>
    </row>
    <row r="75" spans="2:16" x14ac:dyDescent="0.35">
      <c r="B75" s="32" t="s">
        <v>130</v>
      </c>
      <c r="C75" s="7"/>
      <c r="D75" s="24" t="s">
        <v>131</v>
      </c>
      <c r="E75" s="7"/>
      <c r="G75" s="7"/>
      <c r="H75" s="7"/>
      <c r="I75" s="7"/>
      <c r="J75" s="7"/>
      <c r="K75" s="7"/>
      <c r="L75" s="7"/>
      <c r="M75" s="7"/>
      <c r="N75" s="7"/>
      <c r="O75" s="7"/>
      <c r="P75" s="7"/>
    </row>
    <row r="76" spans="2:16" x14ac:dyDescent="0.35">
      <c r="B76" s="32" t="s">
        <v>132</v>
      </c>
      <c r="C76" s="6"/>
      <c r="D76" s="24" t="s">
        <v>133</v>
      </c>
    </row>
    <row r="77" spans="2:16" x14ac:dyDescent="0.35">
      <c r="B77" s="32" t="s">
        <v>134</v>
      </c>
      <c r="C77" s="6"/>
      <c r="D77" s="24" t="s">
        <v>135</v>
      </c>
    </row>
    <row r="78" spans="2:16" ht="15.75" customHeight="1" x14ac:dyDescent="0.35">
      <c r="B78" s="32" t="s">
        <v>136</v>
      </c>
      <c r="C78" s="7"/>
      <c r="D78" s="24" t="s">
        <v>137</v>
      </c>
      <c r="E78" s="7"/>
      <c r="F78" s="7"/>
      <c r="G78" s="7"/>
      <c r="H78" s="7"/>
      <c r="I78" s="7"/>
      <c r="J78" s="7"/>
      <c r="K78" s="7"/>
      <c r="L78" s="7"/>
      <c r="M78" s="7"/>
      <c r="N78" s="7"/>
      <c r="O78" s="7"/>
      <c r="P78" s="7"/>
    </row>
    <row r="79" spans="2:16" ht="18.5" x14ac:dyDescent="0.45">
      <c r="B79" s="109" t="s">
        <v>138</v>
      </c>
      <c r="C79" s="110"/>
      <c r="D79" s="111" t="s">
        <v>139</v>
      </c>
    </row>
    <row r="80" spans="2:16" x14ac:dyDescent="0.35">
      <c r="B80" s="33" t="s">
        <v>140</v>
      </c>
      <c r="C80" s="29"/>
      <c r="D80" s="30" t="s">
        <v>141</v>
      </c>
    </row>
    <row r="83" spans="2:4" ht="18.5" x14ac:dyDescent="0.45">
      <c r="B83" s="198" t="s">
        <v>142</v>
      </c>
      <c r="C83" s="199"/>
      <c r="D83" s="200"/>
    </row>
    <row r="84" spans="2:4" ht="15.75" customHeight="1" x14ac:dyDescent="0.35">
      <c r="B84" s="191" t="s">
        <v>143</v>
      </c>
      <c r="C84" s="27"/>
      <c r="D84" s="57" t="s">
        <v>144</v>
      </c>
    </row>
    <row r="85" spans="2:4" ht="15.75" customHeight="1" x14ac:dyDescent="0.35">
      <c r="B85" s="192"/>
      <c r="C85" s="26"/>
      <c r="D85" s="58" t="s">
        <v>145</v>
      </c>
    </row>
    <row r="86" spans="2:4" ht="15.75" customHeight="1" x14ac:dyDescent="0.35">
      <c r="B86" s="192"/>
      <c r="C86" s="6"/>
      <c r="D86" s="58" t="s">
        <v>146</v>
      </c>
    </row>
    <row r="87" spans="2:4" ht="15.75" customHeight="1" x14ac:dyDescent="0.35">
      <c r="B87" s="192"/>
      <c r="C87" s="7"/>
      <c r="D87" s="58" t="s">
        <v>147</v>
      </c>
    </row>
    <row r="88" spans="2:4" ht="15.75" customHeight="1" x14ac:dyDescent="0.35">
      <c r="B88" s="192"/>
      <c r="C88" s="6"/>
      <c r="D88" s="58" t="s">
        <v>148</v>
      </c>
    </row>
    <row r="89" spans="2:4" ht="15.75" customHeight="1" x14ac:dyDescent="0.35">
      <c r="B89" s="192"/>
      <c r="C89" s="6"/>
      <c r="D89" s="58" t="s">
        <v>149</v>
      </c>
    </row>
    <row r="90" spans="2:4" ht="15.75" customHeight="1" x14ac:dyDescent="0.35">
      <c r="B90" s="193"/>
      <c r="C90" s="56"/>
      <c r="D90" s="59" t="s">
        <v>150</v>
      </c>
    </row>
    <row r="91" spans="2:4" ht="31" x14ac:dyDescent="0.45">
      <c r="B91" s="60" t="s">
        <v>151</v>
      </c>
      <c r="C91" s="61"/>
      <c r="D91" s="62" t="s">
        <v>152</v>
      </c>
    </row>
    <row r="92" spans="2:4" ht="15.75" customHeight="1" x14ac:dyDescent="0.45">
      <c r="B92" s="33"/>
      <c r="C92" s="63"/>
      <c r="D92" s="64" t="s">
        <v>153</v>
      </c>
    </row>
    <row r="93" spans="2:4" ht="31" x14ac:dyDescent="0.35">
      <c r="B93" s="191" t="s">
        <v>154</v>
      </c>
      <c r="C93" s="36" t="s">
        <v>1</v>
      </c>
      <c r="D93" s="62" t="s">
        <v>155</v>
      </c>
    </row>
    <row r="94" spans="2:4" ht="46.5" x14ac:dyDescent="0.35">
      <c r="B94" s="192"/>
      <c r="C94" s="22" t="s">
        <v>1</v>
      </c>
      <c r="D94" s="65" t="s">
        <v>156</v>
      </c>
    </row>
    <row r="95" spans="2:4" x14ac:dyDescent="0.35">
      <c r="B95" s="192"/>
      <c r="C95" s="22"/>
      <c r="D95" s="71"/>
    </row>
    <row r="96" spans="2:4" x14ac:dyDescent="0.35">
      <c r="B96" s="192"/>
      <c r="C96" s="69" t="s">
        <v>157</v>
      </c>
      <c r="D96" s="28"/>
    </row>
    <row r="97" spans="2:4" x14ac:dyDescent="0.35">
      <c r="B97" s="192"/>
      <c r="C97" s="46"/>
      <c r="D97" s="66" t="s">
        <v>158</v>
      </c>
    </row>
    <row r="98" spans="2:4" x14ac:dyDescent="0.35">
      <c r="B98" s="192"/>
      <c r="C98" s="67">
        <v>2010</v>
      </c>
      <c r="D98" s="68">
        <v>92.05</v>
      </c>
    </row>
    <row r="99" spans="2:4" x14ac:dyDescent="0.35">
      <c r="B99" s="192"/>
      <c r="C99" s="67">
        <v>2011</v>
      </c>
      <c r="D99" s="68">
        <v>94.32</v>
      </c>
    </row>
    <row r="100" spans="2:4" x14ac:dyDescent="0.35">
      <c r="B100" s="192"/>
      <c r="C100" s="67">
        <v>2012</v>
      </c>
      <c r="D100" s="68">
        <v>96.99</v>
      </c>
    </row>
    <row r="101" spans="2:4" x14ac:dyDescent="0.35">
      <c r="B101" s="192"/>
      <c r="C101" s="67">
        <v>2013</v>
      </c>
      <c r="D101" s="68">
        <v>99.47</v>
      </c>
    </row>
    <row r="102" spans="2:4" x14ac:dyDescent="0.35">
      <c r="B102" s="192"/>
      <c r="C102" s="67">
        <v>2014</v>
      </c>
      <c r="D102" s="68">
        <v>99.79</v>
      </c>
    </row>
    <row r="103" spans="2:4" x14ac:dyDescent="0.35">
      <c r="B103" s="192"/>
      <c r="C103" s="67">
        <v>2015</v>
      </c>
      <c r="D103" s="68">
        <v>100</v>
      </c>
    </row>
    <row r="104" spans="2:4" x14ac:dyDescent="0.35">
      <c r="B104" s="192"/>
      <c r="C104" s="67">
        <v>2016</v>
      </c>
      <c r="D104" s="68">
        <v>100.11</v>
      </c>
    </row>
    <row r="105" spans="2:4" x14ac:dyDescent="0.35">
      <c r="B105" s="192"/>
      <c r="C105" s="67">
        <v>2017</v>
      </c>
      <c r="D105" s="68">
        <v>101.4</v>
      </c>
    </row>
    <row r="106" spans="2:4" x14ac:dyDescent="0.35">
      <c r="B106" s="192"/>
      <c r="C106" s="130">
        <v>2018</v>
      </c>
      <c r="D106" s="134">
        <f>AVERAGE(Calculations!A3:G3)</f>
        <v>102.60428571428572</v>
      </c>
    </row>
    <row r="107" spans="2:4" x14ac:dyDescent="0.35">
      <c r="B107" s="193"/>
      <c r="C107" s="70" t="s">
        <v>159</v>
      </c>
      <c r="D107" s="30"/>
    </row>
    <row r="128" ht="18" customHeight="1" x14ac:dyDescent="0.35"/>
    <row r="129" ht="18" customHeight="1" x14ac:dyDescent="0.35"/>
    <row r="130" ht="18" customHeight="1" x14ac:dyDescent="0.35"/>
  </sheetData>
  <mergeCells count="25">
    <mergeCell ref="B43:B44"/>
    <mergeCell ref="D51:D52"/>
    <mergeCell ref="C68:F68"/>
    <mergeCell ref="C69:F69"/>
    <mergeCell ref="B65:B66"/>
    <mergeCell ref="B59:B61"/>
    <mergeCell ref="B50:B51"/>
    <mergeCell ref="B53:B55"/>
    <mergeCell ref="B64:F64"/>
    <mergeCell ref="B84:B90"/>
    <mergeCell ref="B93:B107"/>
    <mergeCell ref="B67:F67"/>
    <mergeCell ref="B83:D83"/>
    <mergeCell ref="E12:F12"/>
    <mergeCell ref="B30:F30"/>
    <mergeCell ref="B48:F48"/>
    <mergeCell ref="B58:F58"/>
    <mergeCell ref="B62:F62"/>
    <mergeCell ref="B13:B14"/>
    <mergeCell ref="C12:D12"/>
    <mergeCell ref="B18:B29"/>
    <mergeCell ref="B31:B32"/>
    <mergeCell ref="B33:B34"/>
    <mergeCell ref="B71:D71"/>
    <mergeCell ref="B38:B39"/>
  </mergeCells>
  <hyperlinks>
    <hyperlink ref="D92"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F9695-C69C-43C3-945D-BD811430603C}">
  <sheetPr>
    <tabColor theme="7" tint="0.59999389629810485"/>
    <pageSetUpPr fitToPage="1"/>
  </sheetPr>
  <dimension ref="A1:BA96"/>
  <sheetViews>
    <sheetView topLeftCell="A11" zoomScale="80" zoomScaleNormal="80" workbookViewId="0">
      <selection activeCell="D103" sqref="D103"/>
    </sheetView>
  </sheetViews>
  <sheetFormatPr defaultColWidth="11" defaultRowHeight="14.5" x14ac:dyDescent="0.35"/>
  <cols>
    <col min="1" max="1" width="4.5" style="72" customWidth="1"/>
    <col min="2" max="2" width="11" style="72"/>
    <col min="3" max="3" width="24.75" style="72" customWidth="1"/>
    <col min="4" max="5" width="12.5" style="72" customWidth="1"/>
    <col min="6" max="6" width="18.5" style="72" customWidth="1"/>
    <col min="7" max="21" width="12.5" style="72" customWidth="1"/>
    <col min="22" max="51" width="11" style="72"/>
    <col min="52" max="52" width="101.33203125" style="106" hidden="1" customWidth="1"/>
    <col min="53" max="53" width="182" style="106" hidden="1" customWidth="1"/>
    <col min="54" max="16384" width="11" style="72"/>
  </cols>
  <sheetData>
    <row r="1" spans="1:52" ht="21" x14ac:dyDescent="0.5">
      <c r="A1" s="3" t="s">
        <v>160</v>
      </c>
      <c r="B1" s="120"/>
      <c r="C1" s="120"/>
      <c r="D1" s="98"/>
      <c r="E1" s="120"/>
      <c r="F1" s="120"/>
      <c r="G1" s="120"/>
      <c r="H1" s="120"/>
      <c r="I1" s="120"/>
      <c r="J1" s="120"/>
      <c r="K1" s="120"/>
      <c r="L1" s="120"/>
      <c r="M1" s="120"/>
      <c r="N1" s="120"/>
      <c r="O1" s="120"/>
      <c r="P1" s="120"/>
      <c r="Q1" s="120"/>
      <c r="R1" s="120"/>
      <c r="S1" s="120"/>
      <c r="T1" s="120"/>
      <c r="U1" s="120"/>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row>
    <row r="2" spans="1:52" x14ac:dyDescent="0.35">
      <c r="A2" s="98" t="s">
        <v>161</v>
      </c>
      <c r="B2" s="120"/>
      <c r="C2" s="120"/>
      <c r="D2" s="98"/>
      <c r="E2" s="120"/>
      <c r="F2" s="120"/>
      <c r="G2" s="120"/>
      <c r="H2" s="120"/>
      <c r="I2" s="120"/>
      <c r="J2" s="120"/>
      <c r="K2" s="120"/>
      <c r="L2" s="120"/>
      <c r="M2" s="120"/>
      <c r="N2" s="120"/>
      <c r="O2" s="120"/>
      <c r="P2" s="120"/>
      <c r="Q2" s="120"/>
      <c r="R2" s="120"/>
      <c r="S2" s="120"/>
      <c r="T2" s="120"/>
      <c r="U2" s="120"/>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row>
    <row r="3" spans="1:52" x14ac:dyDescent="0.35">
      <c r="A3" s="120"/>
      <c r="B3" s="120"/>
      <c r="C3" s="120"/>
      <c r="D3" s="120"/>
      <c r="E3" s="120"/>
      <c r="F3" s="120"/>
      <c r="G3" s="120"/>
      <c r="H3" s="120"/>
      <c r="I3" s="120"/>
      <c r="J3" s="120"/>
      <c r="K3" s="120"/>
      <c r="L3" s="120"/>
      <c r="M3" s="120"/>
      <c r="N3" s="120"/>
      <c r="O3" s="120"/>
      <c r="P3" s="120"/>
      <c r="Q3" s="120"/>
      <c r="R3" s="120"/>
      <c r="S3" s="120"/>
      <c r="T3" s="120"/>
      <c r="U3" s="120"/>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row>
    <row r="4" spans="1:52" ht="21" customHeight="1" x14ac:dyDescent="0.35">
      <c r="A4" s="120"/>
      <c r="B4" s="313" t="s">
        <v>162</v>
      </c>
      <c r="C4" s="314"/>
      <c r="D4" s="314"/>
      <c r="E4" s="314"/>
      <c r="F4" s="314"/>
      <c r="G4" s="314"/>
      <c r="H4" s="314"/>
      <c r="I4" s="314"/>
      <c r="J4" s="314"/>
      <c r="K4" s="315"/>
      <c r="L4" s="74"/>
      <c r="M4" s="74"/>
      <c r="N4" s="74"/>
      <c r="O4" s="74"/>
      <c r="P4" s="120"/>
      <c r="Q4" s="120"/>
      <c r="R4" s="120"/>
      <c r="S4" s="120"/>
      <c r="T4" s="120"/>
      <c r="U4" s="120"/>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row>
    <row r="5" spans="1:52" ht="15.75" customHeight="1" x14ac:dyDescent="0.35">
      <c r="A5" s="120"/>
      <c r="B5" s="320" t="s">
        <v>163</v>
      </c>
      <c r="C5" s="320"/>
      <c r="D5" s="284" t="s">
        <v>164</v>
      </c>
      <c r="E5" s="285"/>
      <c r="F5" s="285"/>
      <c r="G5" s="285"/>
      <c r="H5" s="285"/>
      <c r="I5" s="285"/>
      <c r="J5" s="285"/>
      <c r="K5" s="286"/>
      <c r="L5" s="178"/>
      <c r="M5" s="178"/>
      <c r="N5" s="178"/>
      <c r="O5" s="178"/>
      <c r="P5" s="120"/>
      <c r="Q5" s="120"/>
      <c r="R5" s="120"/>
      <c r="S5" s="120"/>
      <c r="T5" s="120"/>
      <c r="U5" s="120"/>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row>
    <row r="6" spans="1:52" ht="15.75" customHeight="1" x14ac:dyDescent="0.35">
      <c r="A6" s="120"/>
      <c r="B6" s="320" t="s">
        <v>165</v>
      </c>
      <c r="C6" s="320"/>
      <c r="D6" s="321">
        <v>43346</v>
      </c>
      <c r="E6" s="322"/>
      <c r="F6" s="322"/>
      <c r="G6" s="322"/>
      <c r="H6" s="322"/>
      <c r="I6" s="322"/>
      <c r="J6" s="322"/>
      <c r="K6" s="323"/>
      <c r="L6" s="178"/>
      <c r="M6" s="178"/>
      <c r="N6" s="178"/>
      <c r="O6" s="178"/>
      <c r="P6" s="120"/>
      <c r="Q6" s="120"/>
      <c r="R6" s="120"/>
      <c r="S6" s="120"/>
      <c r="T6" s="120"/>
      <c r="U6" s="120"/>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row>
    <row r="7" spans="1:52" x14ac:dyDescent="0.35">
      <c r="A7" s="120"/>
      <c r="B7" s="324" t="s">
        <v>13</v>
      </c>
      <c r="C7" s="325"/>
      <c r="D7" s="328"/>
      <c r="E7" s="329"/>
      <c r="F7" s="329"/>
      <c r="G7" s="329"/>
      <c r="H7" s="329"/>
      <c r="I7" s="329"/>
      <c r="J7" s="329"/>
      <c r="K7" s="330"/>
      <c r="L7" s="179"/>
      <c r="M7" s="179"/>
      <c r="N7" s="179"/>
      <c r="O7" s="179"/>
      <c r="P7" s="120"/>
      <c r="Q7" s="120"/>
      <c r="R7" s="120"/>
      <c r="S7" s="120"/>
      <c r="T7" s="120"/>
      <c r="U7" s="120"/>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row>
    <row r="8" spans="1:52" ht="15.75" customHeight="1" x14ac:dyDescent="0.35">
      <c r="A8" s="120"/>
      <c r="B8" s="326"/>
      <c r="C8" s="327"/>
      <c r="D8" s="331" t="s">
        <v>166</v>
      </c>
      <c r="E8" s="332"/>
      <c r="F8" s="332"/>
      <c r="G8" s="332"/>
      <c r="H8" s="332"/>
      <c r="I8" s="332"/>
      <c r="J8" s="332"/>
      <c r="K8" s="333"/>
      <c r="L8" s="179"/>
      <c r="M8" s="179"/>
      <c r="N8" s="179"/>
      <c r="O8" s="179"/>
      <c r="P8" s="120"/>
      <c r="Q8" s="120"/>
      <c r="R8" s="120"/>
      <c r="S8" s="120"/>
      <c r="T8" s="120"/>
      <c r="U8" s="120"/>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row>
    <row r="9" spans="1:52" ht="15.75" customHeight="1" x14ac:dyDescent="0.35">
      <c r="A9" s="120"/>
      <c r="B9" s="316" t="s">
        <v>17</v>
      </c>
      <c r="C9" s="316"/>
      <c r="D9" s="317" t="s">
        <v>167</v>
      </c>
      <c r="E9" s="318"/>
      <c r="F9" s="318"/>
      <c r="G9" s="318"/>
      <c r="H9" s="318"/>
      <c r="I9" s="318"/>
      <c r="J9" s="318"/>
      <c r="K9" s="319"/>
      <c r="L9" s="73"/>
      <c r="M9" s="73"/>
      <c r="N9" s="73"/>
      <c r="O9" s="73"/>
      <c r="P9" s="120"/>
      <c r="Q9" s="120"/>
      <c r="R9" s="120"/>
      <c r="S9" s="120"/>
      <c r="T9" s="120"/>
      <c r="U9" s="120"/>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row>
    <row r="10" spans="1:52" ht="15.75" customHeight="1" x14ac:dyDescent="0.35">
      <c r="A10" s="120"/>
      <c r="B10" s="316" t="s">
        <v>19</v>
      </c>
      <c r="C10" s="316"/>
      <c r="D10" s="317" t="s">
        <v>168</v>
      </c>
      <c r="E10" s="318"/>
      <c r="F10" s="318"/>
      <c r="G10" s="318"/>
      <c r="H10" s="318"/>
      <c r="I10" s="318"/>
      <c r="J10" s="318"/>
      <c r="K10" s="319"/>
      <c r="L10" s="178"/>
      <c r="M10" s="178"/>
      <c r="N10" s="178"/>
      <c r="O10" s="178"/>
      <c r="P10" s="120"/>
      <c r="Q10" s="120"/>
      <c r="R10" s="120"/>
      <c r="S10" s="120"/>
      <c r="T10" s="120"/>
      <c r="U10" s="120"/>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row>
    <row r="11" spans="1:52" ht="203" x14ac:dyDescent="0.35">
      <c r="A11" s="120"/>
      <c r="B11" s="276" t="s">
        <v>22</v>
      </c>
      <c r="C11" s="276"/>
      <c r="D11" s="246" t="s">
        <v>169</v>
      </c>
      <c r="E11" s="247"/>
      <c r="F11" s="247"/>
      <c r="G11" s="247"/>
      <c r="H11" s="247"/>
      <c r="I11" s="247"/>
      <c r="J11" s="247"/>
      <c r="K11" s="248"/>
      <c r="L11" s="179"/>
      <c r="M11" s="179"/>
      <c r="N11" s="179"/>
      <c r="O11" s="179"/>
      <c r="P11" s="120"/>
      <c r="Q11" s="120"/>
      <c r="R11" s="120"/>
      <c r="S11" s="120"/>
      <c r="T11" s="120"/>
      <c r="U11" s="120"/>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07" t="str">
        <f>D11</f>
        <v xml:space="preserve">Wet biomass in this category refers to organic wastes such as residual flows from the food and beverage industry, vegetable, fruit and garden wastes, or organic wet faction of household wastes. The residual flows are mentioned in the NTA8003 and published by the Netherlands Standardization Institute. For this category, a minimum biogas production of 25 Nm3 (natural gas equivalent) for tonne feedstock is requested. Manure is not included in this category. 
The biomass is digested in a state-of the-art anaerobic digestion installation to produce biogas. The installation consists of storage and pre-treatment, digestion installations, combustion of biogas and post treatment and storage of digestate (i.e. dewatering, drying, in some cases hygenisation and storage). On average, the residence time of the organic waste in the fermenter is around 30 days and biogas is produced. 
Biogas consists mainly of methane (in average 60%) and carbon dioxide (33-38%) in addition to contaminants such as sulphur, water vapor and oxygen. The biogas is desulfurized prior to it being fed into a gas motor to produce heat and electricity. The Activities Decree on emissions for combustion plants requires that the gas motors comply with the emission limits for SO2 and NOx. </v>
      </c>
    </row>
    <row r="12" spans="1:52" ht="15.75" customHeight="1" x14ac:dyDescent="0.35">
      <c r="A12" s="120"/>
      <c r="B12" s="245" t="s">
        <v>170</v>
      </c>
      <c r="C12" s="245"/>
      <c r="D12" s="334" t="s">
        <v>29</v>
      </c>
      <c r="E12" s="322"/>
      <c r="F12" s="322"/>
      <c r="G12" s="322"/>
      <c r="H12" s="322"/>
      <c r="I12" s="322"/>
      <c r="J12" s="322"/>
      <c r="K12" s="323"/>
      <c r="L12" s="178"/>
      <c r="M12" s="178"/>
      <c r="N12" s="178"/>
      <c r="O12" s="178"/>
      <c r="P12" s="120"/>
      <c r="Q12" s="120"/>
      <c r="R12" s="120"/>
      <c r="S12" s="120"/>
      <c r="T12" s="120"/>
      <c r="U12" s="120"/>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row>
    <row r="13" spans="1:52" ht="28.5" customHeight="1" x14ac:dyDescent="0.35">
      <c r="A13" s="120"/>
      <c r="B13" s="245"/>
      <c r="C13" s="245"/>
      <c r="D13" s="335" t="s">
        <v>171</v>
      </c>
      <c r="E13" s="336"/>
      <c r="F13" s="336"/>
      <c r="G13" s="336"/>
      <c r="H13" s="336"/>
      <c r="I13" s="336"/>
      <c r="J13" s="336"/>
      <c r="K13" s="337"/>
      <c r="L13" s="179"/>
      <c r="M13" s="179"/>
      <c r="N13" s="179"/>
      <c r="O13" s="179"/>
      <c r="P13" s="120"/>
      <c r="Q13" s="120"/>
      <c r="R13" s="120"/>
      <c r="S13" s="120"/>
      <c r="T13" s="120"/>
      <c r="U13" s="120"/>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07" t="str">
        <f>D13</f>
        <v xml:space="preserve">Anaerobic digestion technology and CHP are widely applied commercial technologies. </v>
      </c>
    </row>
    <row r="14" spans="1:52" ht="21" customHeight="1" x14ac:dyDescent="0.35">
      <c r="A14" s="120"/>
      <c r="B14" s="313" t="s">
        <v>47</v>
      </c>
      <c r="C14" s="314"/>
      <c r="D14" s="314"/>
      <c r="E14" s="314"/>
      <c r="F14" s="314"/>
      <c r="G14" s="314"/>
      <c r="H14" s="314"/>
      <c r="I14" s="314"/>
      <c r="J14" s="314"/>
      <c r="K14" s="315"/>
      <c r="L14" s="74"/>
      <c r="M14" s="74"/>
      <c r="N14" s="74"/>
      <c r="O14" s="74"/>
      <c r="P14" s="120"/>
      <c r="Q14" s="120"/>
      <c r="R14" s="120"/>
      <c r="S14" s="120"/>
      <c r="T14" s="120"/>
      <c r="U14" s="120"/>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row>
    <row r="15" spans="1:52" ht="15" customHeight="1" x14ac:dyDescent="0.35">
      <c r="A15" s="120"/>
      <c r="B15" s="287" t="s">
        <v>48</v>
      </c>
      <c r="C15" s="287"/>
      <c r="D15" s="237" t="s">
        <v>172</v>
      </c>
      <c r="E15" s="238"/>
      <c r="F15" s="238"/>
      <c r="G15" s="238"/>
      <c r="H15" s="238"/>
      <c r="I15" s="238"/>
      <c r="J15" s="238"/>
      <c r="K15" s="239"/>
      <c r="L15" s="74"/>
      <c r="M15" s="74"/>
      <c r="N15" s="74"/>
      <c r="O15" s="74"/>
      <c r="P15" s="120"/>
      <c r="Q15" s="120"/>
      <c r="R15" s="120"/>
      <c r="S15" s="120"/>
      <c r="T15" s="120"/>
      <c r="U15" s="120"/>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row>
    <row r="16" spans="1:52" ht="15" customHeight="1" x14ac:dyDescent="0.35">
      <c r="A16" s="120"/>
      <c r="B16" s="287"/>
      <c r="C16" s="287"/>
      <c r="D16" s="240"/>
      <c r="E16" s="241"/>
      <c r="F16" s="241"/>
      <c r="G16" s="241"/>
      <c r="H16" s="241"/>
      <c r="I16" s="241"/>
      <c r="J16" s="241"/>
      <c r="K16" s="242"/>
      <c r="L16" s="74"/>
      <c r="M16" s="74"/>
      <c r="N16" s="74"/>
      <c r="O16" s="74"/>
      <c r="P16" s="120"/>
      <c r="Q16" s="120"/>
      <c r="R16" s="120"/>
      <c r="S16" s="120"/>
      <c r="T16" s="120"/>
      <c r="U16" s="120"/>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row>
    <row r="17" spans="1:21" x14ac:dyDescent="0.35">
      <c r="A17" s="120"/>
      <c r="B17" s="308"/>
      <c r="C17" s="308"/>
      <c r="D17" s="309" t="s">
        <v>173</v>
      </c>
      <c r="E17" s="309"/>
      <c r="F17" s="309"/>
      <c r="G17" s="175" t="s">
        <v>174</v>
      </c>
      <c r="H17" s="175" t="s">
        <v>175</v>
      </c>
      <c r="I17" s="175" t="s">
        <v>176</v>
      </c>
      <c r="J17" s="175" t="s">
        <v>177</v>
      </c>
      <c r="K17" s="175" t="s">
        <v>178</v>
      </c>
      <c r="L17" s="75"/>
      <c r="M17" s="75"/>
      <c r="N17" s="75"/>
      <c r="O17" s="75"/>
      <c r="P17" s="120"/>
      <c r="Q17" s="120"/>
      <c r="R17" s="120"/>
      <c r="S17" s="120"/>
      <c r="T17" s="120"/>
      <c r="U17" s="120"/>
    </row>
    <row r="18" spans="1:21" ht="15.75" customHeight="1" x14ac:dyDescent="0.35">
      <c r="A18" s="120"/>
      <c r="B18" s="287" t="s">
        <v>52</v>
      </c>
      <c r="C18" s="287"/>
      <c r="D18" s="310" t="str">
        <f>IF(D15="Please select","Select Functional Unit above",D15)</f>
        <v>MWth</v>
      </c>
      <c r="E18" s="310"/>
      <c r="F18" s="310"/>
      <c r="G18" s="92" t="s">
        <v>179</v>
      </c>
      <c r="H18" s="91"/>
      <c r="I18" s="91"/>
      <c r="J18" s="91"/>
      <c r="K18" s="91"/>
      <c r="L18" s="76"/>
      <c r="M18" s="76"/>
      <c r="N18" s="76"/>
      <c r="O18" s="76"/>
      <c r="P18" s="120"/>
      <c r="Q18" s="120"/>
      <c r="R18" s="120"/>
      <c r="S18" s="120"/>
      <c r="T18" s="120"/>
      <c r="U18" s="120"/>
    </row>
    <row r="19" spans="1:21" ht="15.75" customHeight="1" x14ac:dyDescent="0.35">
      <c r="A19" s="120"/>
      <c r="B19" s="287"/>
      <c r="C19" s="287"/>
      <c r="D19" s="310"/>
      <c r="E19" s="310"/>
      <c r="F19" s="310"/>
      <c r="G19" s="102" t="s">
        <v>180</v>
      </c>
      <c r="H19" s="102" t="s">
        <v>181</v>
      </c>
      <c r="I19" s="102" t="s">
        <v>181</v>
      </c>
      <c r="J19" s="102" t="s">
        <v>181</v>
      </c>
      <c r="K19" s="102" t="s">
        <v>181</v>
      </c>
      <c r="L19" s="76"/>
      <c r="M19" s="76"/>
      <c r="N19" s="76"/>
      <c r="O19" s="76"/>
      <c r="P19" s="120"/>
      <c r="Q19" s="120"/>
      <c r="R19" s="120"/>
      <c r="S19" s="120"/>
      <c r="T19" s="120"/>
      <c r="U19" s="120"/>
    </row>
    <row r="20" spans="1:21" ht="15.75" customHeight="1" x14ac:dyDescent="0.35">
      <c r="A20" s="120"/>
      <c r="B20" s="308"/>
      <c r="C20" s="308"/>
      <c r="D20" s="311" t="s">
        <v>173</v>
      </c>
      <c r="E20" s="312"/>
      <c r="F20" s="177" t="s">
        <v>182</v>
      </c>
      <c r="G20" s="235" t="s">
        <v>183</v>
      </c>
      <c r="H20" s="235"/>
      <c r="I20" s="235"/>
      <c r="J20" s="235"/>
      <c r="K20" s="235"/>
      <c r="L20" s="236">
        <v>2030</v>
      </c>
      <c r="M20" s="236"/>
      <c r="N20" s="236"/>
      <c r="O20" s="236"/>
      <c r="P20" s="236"/>
      <c r="Q20" s="235">
        <v>2050</v>
      </c>
      <c r="R20" s="235"/>
      <c r="S20" s="235"/>
      <c r="T20" s="235"/>
      <c r="U20" s="235"/>
    </row>
    <row r="21" spans="1:21" ht="15.75" customHeight="1" x14ac:dyDescent="0.35">
      <c r="A21" s="120"/>
      <c r="B21" s="293" t="s">
        <v>57</v>
      </c>
      <c r="C21" s="294"/>
      <c r="D21" s="299" t="str">
        <f>IF(D15="Please select","Select Functional Unit above",D15)</f>
        <v>MWth</v>
      </c>
      <c r="E21" s="300"/>
      <c r="F21" s="305" t="s">
        <v>184</v>
      </c>
      <c r="G21" s="175" t="s">
        <v>174</v>
      </c>
      <c r="H21" s="175" t="s">
        <v>175</v>
      </c>
      <c r="I21" s="175" t="s">
        <v>176</v>
      </c>
      <c r="J21" s="175" t="s">
        <v>177</v>
      </c>
      <c r="K21" s="175" t="s">
        <v>178</v>
      </c>
      <c r="L21" s="176" t="s">
        <v>174</v>
      </c>
      <c r="M21" s="176" t="s">
        <v>175</v>
      </c>
      <c r="N21" s="176" t="s">
        <v>176</v>
      </c>
      <c r="O21" s="176" t="s">
        <v>177</v>
      </c>
      <c r="P21" s="176" t="s">
        <v>178</v>
      </c>
      <c r="Q21" s="175" t="s">
        <v>174</v>
      </c>
      <c r="R21" s="175" t="s">
        <v>175</v>
      </c>
      <c r="S21" s="175" t="s">
        <v>176</v>
      </c>
      <c r="T21" s="175" t="s">
        <v>177</v>
      </c>
      <c r="U21" s="175" t="s">
        <v>178</v>
      </c>
    </row>
    <row r="22" spans="1:21" ht="15" customHeight="1" x14ac:dyDescent="0.35">
      <c r="A22" s="120"/>
      <c r="B22" s="295"/>
      <c r="C22" s="296"/>
      <c r="D22" s="301"/>
      <c r="E22" s="302"/>
      <c r="F22" s="306"/>
      <c r="G22" s="92"/>
      <c r="H22" s="162">
        <f>Calculations!C24</f>
        <v>867</v>
      </c>
      <c r="I22" s="162">
        <f>Calculations!C25</f>
        <v>700</v>
      </c>
      <c r="J22" s="162">
        <f>Calculations!C28</f>
        <v>455</v>
      </c>
      <c r="K22" s="91"/>
      <c r="L22" s="90"/>
      <c r="M22" s="161">
        <f>Calculations!C26</f>
        <v>1042</v>
      </c>
      <c r="N22" s="161">
        <f>Calculations!C27</f>
        <v>731</v>
      </c>
      <c r="O22" s="161">
        <f>Calculations!C29</f>
        <v>545</v>
      </c>
      <c r="P22" s="101"/>
      <c r="Q22" s="90"/>
      <c r="R22" s="101"/>
      <c r="S22" s="101"/>
      <c r="T22" s="101"/>
      <c r="U22" s="101"/>
    </row>
    <row r="23" spans="1:21" x14ac:dyDescent="0.35">
      <c r="A23" s="120"/>
      <c r="B23" s="297"/>
      <c r="C23" s="298"/>
      <c r="D23" s="303"/>
      <c r="E23" s="304"/>
      <c r="F23" s="307"/>
      <c r="G23" s="158"/>
      <c r="H23" s="158" t="s">
        <v>185</v>
      </c>
      <c r="I23" s="158" t="s">
        <v>186</v>
      </c>
      <c r="J23" s="102" t="s">
        <v>187</v>
      </c>
      <c r="K23" s="102" t="s">
        <v>181</v>
      </c>
      <c r="L23" s="158"/>
      <c r="M23" s="158" t="s">
        <v>185</v>
      </c>
      <c r="N23" s="158" t="s">
        <v>186</v>
      </c>
      <c r="O23" s="102" t="str">
        <f>J23</f>
        <v>Routekaart Hernieuwbaar gas, 2014</v>
      </c>
      <c r="P23" s="102" t="s">
        <v>181</v>
      </c>
      <c r="Q23" s="102" t="s">
        <v>181</v>
      </c>
      <c r="R23" s="102" t="s">
        <v>181</v>
      </c>
      <c r="S23" s="102" t="s">
        <v>181</v>
      </c>
      <c r="T23" s="102" t="s">
        <v>181</v>
      </c>
      <c r="U23" s="102" t="s">
        <v>181</v>
      </c>
    </row>
    <row r="24" spans="1:21" ht="15.75" customHeight="1" x14ac:dyDescent="0.35">
      <c r="A24" s="120"/>
      <c r="B24" s="287" t="s">
        <v>188</v>
      </c>
      <c r="C24" s="287"/>
      <c r="D24" s="237" t="s">
        <v>189</v>
      </c>
      <c r="E24" s="239"/>
      <c r="F24" s="291" t="s">
        <v>190</v>
      </c>
      <c r="G24" s="92"/>
      <c r="H24" s="91"/>
      <c r="I24" s="91"/>
      <c r="J24" s="91"/>
      <c r="K24" s="91"/>
      <c r="L24" s="90"/>
      <c r="M24" s="101"/>
      <c r="N24" s="101"/>
      <c r="O24" s="101"/>
      <c r="P24" s="101"/>
      <c r="Q24" s="90"/>
      <c r="R24" s="101"/>
      <c r="S24" s="101"/>
      <c r="T24" s="101"/>
      <c r="U24" s="101"/>
    </row>
    <row r="25" spans="1:21" ht="15.75" customHeight="1" x14ac:dyDescent="0.35">
      <c r="A25" s="120"/>
      <c r="B25" s="287"/>
      <c r="C25" s="287"/>
      <c r="D25" s="240"/>
      <c r="E25" s="242"/>
      <c r="F25" s="292"/>
      <c r="G25" s="102" t="s">
        <v>181</v>
      </c>
      <c r="H25" s="102" t="s">
        <v>181</v>
      </c>
      <c r="I25" s="102" t="s">
        <v>181</v>
      </c>
      <c r="J25" s="102" t="s">
        <v>181</v>
      </c>
      <c r="K25" s="102" t="s">
        <v>181</v>
      </c>
      <c r="L25" s="102" t="s">
        <v>181</v>
      </c>
      <c r="M25" s="102" t="s">
        <v>181</v>
      </c>
      <c r="N25" s="102" t="s">
        <v>181</v>
      </c>
      <c r="O25" s="102" t="s">
        <v>181</v>
      </c>
      <c r="P25" s="102" t="s">
        <v>181</v>
      </c>
      <c r="Q25" s="102" t="s">
        <v>181</v>
      </c>
      <c r="R25" s="102" t="s">
        <v>181</v>
      </c>
      <c r="S25" s="102" t="s">
        <v>181</v>
      </c>
      <c r="T25" s="102" t="s">
        <v>181</v>
      </c>
      <c r="U25" s="102" t="s">
        <v>181</v>
      </c>
    </row>
    <row r="26" spans="1:21" x14ac:dyDescent="0.35">
      <c r="A26" s="120"/>
      <c r="B26" s="280" t="s">
        <v>66</v>
      </c>
      <c r="C26" s="280"/>
      <c r="D26" s="281" t="s">
        <v>191</v>
      </c>
      <c r="E26" s="282"/>
      <c r="F26" s="282"/>
      <c r="G26" s="282"/>
      <c r="H26" s="282"/>
      <c r="I26" s="282"/>
      <c r="J26" s="282"/>
      <c r="K26" s="283"/>
      <c r="L26" s="78"/>
      <c r="M26" s="78"/>
      <c r="N26" s="78"/>
      <c r="O26" s="78"/>
      <c r="P26" s="120"/>
      <c r="Q26" s="120"/>
      <c r="R26" s="120"/>
      <c r="S26" s="120"/>
      <c r="T26" s="120"/>
      <c r="U26" s="120"/>
    </row>
    <row r="27" spans="1:21" x14ac:dyDescent="0.35">
      <c r="A27" s="120"/>
      <c r="B27" s="280" t="s">
        <v>69</v>
      </c>
      <c r="C27" s="280"/>
      <c r="D27" s="281">
        <v>8000</v>
      </c>
      <c r="E27" s="282"/>
      <c r="F27" s="282"/>
      <c r="G27" s="282"/>
      <c r="H27" s="282"/>
      <c r="I27" s="282"/>
      <c r="J27" s="282"/>
      <c r="K27" s="283"/>
      <c r="L27" s="78"/>
      <c r="M27" s="78"/>
      <c r="N27" s="78"/>
      <c r="O27" s="78"/>
      <c r="P27" s="120"/>
      <c r="Q27" s="120"/>
      <c r="R27" s="120"/>
      <c r="S27" s="120"/>
      <c r="T27" s="120"/>
      <c r="U27" s="120"/>
    </row>
    <row r="28" spans="1:21" ht="15" customHeight="1" x14ac:dyDescent="0.35">
      <c r="A28" s="120"/>
      <c r="B28" s="280" t="s">
        <v>71</v>
      </c>
      <c r="C28" s="280"/>
      <c r="D28" s="284" t="s">
        <v>192</v>
      </c>
      <c r="E28" s="285"/>
      <c r="F28" s="285"/>
      <c r="G28" s="285"/>
      <c r="H28" s="285"/>
      <c r="I28" s="285"/>
      <c r="J28" s="285"/>
      <c r="K28" s="286"/>
      <c r="L28" s="78"/>
      <c r="M28" s="78"/>
      <c r="N28" s="78"/>
      <c r="O28" s="78"/>
      <c r="P28" s="120"/>
      <c r="Q28" s="120"/>
      <c r="R28" s="120"/>
      <c r="S28" s="120"/>
      <c r="T28" s="120"/>
      <c r="U28" s="120"/>
    </row>
    <row r="29" spans="1:21" ht="15.75" customHeight="1" x14ac:dyDescent="0.35">
      <c r="A29" s="120"/>
      <c r="B29" s="280" t="s">
        <v>74</v>
      </c>
      <c r="C29" s="280"/>
      <c r="D29" s="281" t="s">
        <v>193</v>
      </c>
      <c r="E29" s="282"/>
      <c r="F29" s="282"/>
      <c r="G29" s="282"/>
      <c r="H29" s="282"/>
      <c r="I29" s="282"/>
      <c r="J29" s="282"/>
      <c r="K29" s="283"/>
      <c r="L29" s="77"/>
      <c r="M29" s="77"/>
      <c r="N29" s="77"/>
      <c r="O29" s="77"/>
      <c r="P29" s="120"/>
      <c r="Q29" s="120"/>
      <c r="R29" s="120"/>
      <c r="S29" s="120"/>
      <c r="T29" s="120"/>
      <c r="U29" s="120"/>
    </row>
    <row r="30" spans="1:21" x14ac:dyDescent="0.35">
      <c r="A30" s="120"/>
      <c r="B30" s="280" t="s">
        <v>79</v>
      </c>
      <c r="C30" s="280"/>
      <c r="D30" s="281">
        <v>15</v>
      </c>
      <c r="E30" s="282"/>
      <c r="F30" s="282"/>
      <c r="G30" s="282"/>
      <c r="H30" s="282"/>
      <c r="I30" s="282"/>
      <c r="J30" s="282"/>
      <c r="K30" s="283"/>
      <c r="L30" s="78"/>
      <c r="M30" s="78"/>
      <c r="N30" s="78"/>
      <c r="O30" s="78"/>
      <c r="P30" s="120"/>
      <c r="Q30" s="120"/>
      <c r="R30" s="120"/>
      <c r="S30" s="120"/>
      <c r="T30" s="120"/>
      <c r="U30" s="120"/>
    </row>
    <row r="31" spans="1:21" x14ac:dyDescent="0.35">
      <c r="A31" s="120"/>
      <c r="B31" s="280" t="s">
        <v>81</v>
      </c>
      <c r="C31" s="280"/>
      <c r="D31" s="281"/>
      <c r="E31" s="282"/>
      <c r="F31" s="282"/>
      <c r="G31" s="282"/>
      <c r="H31" s="282"/>
      <c r="I31" s="282"/>
      <c r="J31" s="282"/>
      <c r="K31" s="283"/>
      <c r="L31" s="78"/>
      <c r="M31" s="78"/>
      <c r="N31" s="78"/>
      <c r="O31" s="78"/>
      <c r="P31" s="120"/>
      <c r="Q31" s="120"/>
      <c r="R31" s="120"/>
      <c r="S31" s="120"/>
      <c r="T31" s="120"/>
      <c r="U31" s="120"/>
    </row>
    <row r="32" spans="1:21" x14ac:dyDescent="0.35">
      <c r="A32" s="120"/>
      <c r="B32" s="280" t="s">
        <v>83</v>
      </c>
      <c r="C32" s="280"/>
      <c r="D32" s="284" t="s">
        <v>192</v>
      </c>
      <c r="E32" s="285"/>
      <c r="F32" s="285"/>
      <c r="G32" s="285"/>
      <c r="H32" s="285"/>
      <c r="I32" s="285"/>
      <c r="J32" s="285"/>
      <c r="K32" s="286"/>
      <c r="L32" s="78"/>
      <c r="M32" s="78"/>
      <c r="N32" s="78"/>
      <c r="O32" s="78"/>
      <c r="P32" s="120"/>
      <c r="Q32" s="120"/>
      <c r="R32" s="120"/>
      <c r="S32" s="120"/>
      <c r="T32" s="120"/>
      <c r="U32" s="120"/>
    </row>
    <row r="33" spans="1:53" ht="145" x14ac:dyDescent="0.35">
      <c r="A33" s="120"/>
      <c r="B33" s="287" t="s">
        <v>194</v>
      </c>
      <c r="C33" s="287"/>
      <c r="D33" s="288" t="s">
        <v>195</v>
      </c>
      <c r="E33" s="289"/>
      <c r="F33" s="289"/>
      <c r="G33" s="289"/>
      <c r="H33" s="289"/>
      <c r="I33" s="289"/>
      <c r="J33" s="289"/>
      <c r="K33" s="290"/>
      <c r="L33" s="179"/>
      <c r="M33" s="179"/>
      <c r="N33" s="179"/>
      <c r="O33" s="179"/>
      <c r="P33" s="120"/>
      <c r="Q33" s="120"/>
      <c r="R33" s="120"/>
      <c r="S33" s="120"/>
      <c r="T33" s="120"/>
      <c r="U33" s="120"/>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07" t="str">
        <f>D33</f>
        <v>The capacity and the potential refers to MWth biogas. Thus, the potential is presented as biogas potential of organic waste streams (excluding manure) and it is the same for all  digestion related pathways, excluding manure digestion. The potential above refers to the total biogas potential from VGI, GFT&amp;ONF, straw, other agricultural residues and energy crops. DNV GL defines the potential for 2023 and 2035. The 2023 data is presented as 2020 and 2035 data as 2030 potential. Aquatic biomass potential is not included in the figures. Elbersen et al (2015) also do not include aquatic biomass. Routekaart Hernieuwbaar Gas report considers a small value (0,1 PJ biogas) for seaweed in 2020 increasing to 16.7 PJ in 2030.  DNV GL (2017) indicates  aquatic biomass potential to be around 18PJ in 2023, increasing to  53 PJ in 2030.
The wet biomass potential ratio among the sectors industry, households and  agriculture  are  38%, 36%, 26% in 2020 and 34%, 32%, 34% in 2030, respectively.  </v>
      </c>
    </row>
    <row r="34" spans="1:53" ht="21" customHeight="1" x14ac:dyDescent="0.35">
      <c r="A34" s="120"/>
      <c r="B34" s="253" t="s">
        <v>196</v>
      </c>
      <c r="C34" s="253"/>
      <c r="D34" s="253"/>
      <c r="E34" s="253"/>
      <c r="F34" s="253"/>
      <c r="G34" s="253"/>
      <c r="H34" s="253"/>
      <c r="I34" s="253"/>
      <c r="J34" s="253"/>
      <c r="K34" s="253"/>
      <c r="L34" s="253"/>
      <c r="M34" s="253"/>
      <c r="N34" s="253"/>
      <c r="O34" s="253"/>
      <c r="P34" s="253"/>
      <c r="Q34" s="253"/>
      <c r="R34" s="253"/>
      <c r="S34" s="253"/>
      <c r="T34" s="253"/>
      <c r="U34" s="253"/>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row>
    <row r="35" spans="1:53" ht="15.75" customHeight="1" x14ac:dyDescent="0.35">
      <c r="A35" s="120"/>
      <c r="B35" s="277" t="s">
        <v>197</v>
      </c>
      <c r="C35" s="277"/>
      <c r="D35" s="277"/>
      <c r="E35" s="277"/>
      <c r="F35" s="277"/>
      <c r="G35" s="235" t="s">
        <v>183</v>
      </c>
      <c r="H35" s="235"/>
      <c r="I35" s="235"/>
      <c r="J35" s="235"/>
      <c r="K35" s="235"/>
      <c r="L35" s="236">
        <v>2030</v>
      </c>
      <c r="M35" s="236"/>
      <c r="N35" s="236"/>
      <c r="O35" s="236"/>
      <c r="P35" s="236"/>
      <c r="Q35" s="235">
        <v>2050</v>
      </c>
      <c r="R35" s="235"/>
      <c r="S35" s="235"/>
      <c r="T35" s="235"/>
      <c r="U35" s="235"/>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row>
    <row r="36" spans="1:53" ht="15.75" customHeight="1" x14ac:dyDescent="0.35">
      <c r="A36" s="120"/>
      <c r="B36" s="277"/>
      <c r="C36" s="277"/>
      <c r="D36" s="278"/>
      <c r="E36" s="278"/>
      <c r="F36" s="278"/>
      <c r="G36" s="175" t="s">
        <v>174</v>
      </c>
      <c r="H36" s="175" t="s">
        <v>175</v>
      </c>
      <c r="I36" s="175" t="s">
        <v>176</v>
      </c>
      <c r="J36" s="175" t="s">
        <v>177</v>
      </c>
      <c r="K36" s="175" t="s">
        <v>178</v>
      </c>
      <c r="L36" s="176" t="s">
        <v>174</v>
      </c>
      <c r="M36" s="176" t="s">
        <v>175</v>
      </c>
      <c r="N36" s="176" t="s">
        <v>176</v>
      </c>
      <c r="O36" s="176" t="s">
        <v>177</v>
      </c>
      <c r="P36" s="176" t="s">
        <v>178</v>
      </c>
      <c r="Q36" s="175" t="s">
        <v>174</v>
      </c>
      <c r="R36" s="175" t="s">
        <v>175</v>
      </c>
      <c r="S36" s="175" t="s">
        <v>176</v>
      </c>
      <c r="T36" s="175" t="s">
        <v>177</v>
      </c>
      <c r="U36" s="175" t="s">
        <v>178</v>
      </c>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row>
    <row r="37" spans="1:53" ht="15.75" customHeight="1" x14ac:dyDescent="0.35">
      <c r="A37" s="120"/>
      <c r="B37" s="245" t="s">
        <v>90</v>
      </c>
      <c r="C37" s="279"/>
      <c r="D37" s="271" t="s">
        <v>198</v>
      </c>
      <c r="E37" s="273" t="str">
        <f>IF(D15="Please select","Please select 'Functional Unit' above",D15)</f>
        <v>MWth</v>
      </c>
      <c r="F37" s="274"/>
      <c r="G37" s="92">
        <f>0.9*'READ ME'!D103/'READ ME'!D106</f>
        <v>0.87715634267574449</v>
      </c>
      <c r="H37" s="101">
        <f>'ETRI data'!E9/1000</f>
        <v>2.77</v>
      </c>
      <c r="I37" s="101">
        <f>'ETRI data'!E10/1000</f>
        <v>3.03</v>
      </c>
      <c r="J37" s="101"/>
      <c r="K37" s="101"/>
      <c r="L37" s="92">
        <f>G37-G37*'ETRI data'!$K$6*'Data input old'!$G$37*5</f>
        <v>0.86665254404780878</v>
      </c>
      <c r="M37" s="101">
        <f>'ETRI data'!F9/1000</f>
        <v>2.6</v>
      </c>
      <c r="N37" s="101">
        <f>'ETRI data'!F10/1000</f>
        <v>3</v>
      </c>
      <c r="O37" s="101"/>
      <c r="P37" s="101"/>
      <c r="Q37" s="92">
        <f>L37-L37*'ETRI data'!$M$6*10</f>
        <v>0.83547799210364304</v>
      </c>
      <c r="R37" s="101">
        <f>'ETRI data'!H9/1000</f>
        <v>2.29</v>
      </c>
      <c r="S37" s="101">
        <f>'ETRI data'!H10/1000</f>
        <v>2.93</v>
      </c>
      <c r="T37" s="101"/>
      <c r="U37" s="10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row>
    <row r="38" spans="1:53" x14ac:dyDescent="0.35">
      <c r="A38" s="120"/>
      <c r="B38" s="245"/>
      <c r="C38" s="279"/>
      <c r="D38" s="272"/>
      <c r="E38" s="275"/>
      <c r="F38" s="214"/>
      <c r="G38" s="103" t="s">
        <v>180</v>
      </c>
      <c r="H38" s="102" t="s">
        <v>199</v>
      </c>
      <c r="I38" s="102" t="s">
        <v>200</v>
      </c>
      <c r="J38" s="102" t="s">
        <v>181</v>
      </c>
      <c r="K38" s="102" t="s">
        <v>181</v>
      </c>
      <c r="L38" s="102" t="s">
        <v>201</v>
      </c>
      <c r="M38" s="102" t="s">
        <v>199</v>
      </c>
      <c r="N38" s="102" t="s">
        <v>200</v>
      </c>
      <c r="O38" s="102" t="s">
        <v>181</v>
      </c>
      <c r="P38" s="102" t="s">
        <v>181</v>
      </c>
      <c r="Q38" s="102" t="s">
        <v>202</v>
      </c>
      <c r="R38" s="102" t="s">
        <v>203</v>
      </c>
      <c r="S38" s="102" t="s">
        <v>204</v>
      </c>
      <c r="T38" s="102" t="s">
        <v>181</v>
      </c>
      <c r="U38" s="102" t="s">
        <v>181</v>
      </c>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row>
    <row r="39" spans="1:53" ht="15" customHeight="1" x14ac:dyDescent="0.35">
      <c r="A39" s="120"/>
      <c r="B39" s="245" t="s">
        <v>205</v>
      </c>
      <c r="C39" s="245"/>
      <c r="D39" s="271" t="s">
        <v>198</v>
      </c>
      <c r="E39" s="273" t="str">
        <f>IF(D15="Please select","Please select 'Functional Unit' above",D15)</f>
        <v>MWth</v>
      </c>
      <c r="F39" s="274"/>
      <c r="G39" s="92">
        <f>0.235482352941176*'READ ME'!D103/'READ ME'!D106</f>
        <v>0.22950537718951197</v>
      </c>
      <c r="H39" s="101"/>
      <c r="I39" s="101"/>
      <c r="J39" s="101"/>
      <c r="K39" s="101"/>
      <c r="L39" s="92"/>
      <c r="M39" s="101"/>
      <c r="N39" s="101"/>
      <c r="O39" s="101"/>
      <c r="P39" s="101"/>
      <c r="Q39" s="92"/>
      <c r="R39" s="101"/>
      <c r="S39" s="101"/>
      <c r="T39" s="101"/>
      <c r="U39" s="10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row>
    <row r="40" spans="1:53" ht="15" customHeight="1" x14ac:dyDescent="0.35">
      <c r="A40" s="120"/>
      <c r="B40" s="245"/>
      <c r="C40" s="245"/>
      <c r="D40" s="272"/>
      <c r="E40" s="275"/>
      <c r="F40" s="214"/>
      <c r="G40" s="102"/>
      <c r="H40" s="102" t="s">
        <v>181</v>
      </c>
      <c r="I40" s="102" t="s">
        <v>181</v>
      </c>
      <c r="J40" s="102" t="s">
        <v>181</v>
      </c>
      <c r="K40" s="102" t="s">
        <v>181</v>
      </c>
      <c r="L40" s="102" t="s">
        <v>181</v>
      </c>
      <c r="M40" s="102" t="s">
        <v>181</v>
      </c>
      <c r="N40" s="102" t="s">
        <v>181</v>
      </c>
      <c r="O40" s="102" t="s">
        <v>181</v>
      </c>
      <c r="P40" s="102" t="s">
        <v>181</v>
      </c>
      <c r="Q40" s="102" t="s">
        <v>181</v>
      </c>
      <c r="R40" s="102" t="s">
        <v>181</v>
      </c>
      <c r="S40" s="102" t="s">
        <v>181</v>
      </c>
      <c r="T40" s="102" t="s">
        <v>181</v>
      </c>
      <c r="U40" s="102" t="s">
        <v>181</v>
      </c>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row>
    <row r="41" spans="1:53" ht="15.75" customHeight="1" x14ac:dyDescent="0.35">
      <c r="A41" s="120"/>
      <c r="B41" s="245" t="s">
        <v>206</v>
      </c>
      <c r="C41" s="245"/>
      <c r="D41" s="271" t="s">
        <v>198</v>
      </c>
      <c r="E41" s="273" t="str">
        <f>IF(D15="Please select","Please select 'Functional Unit' above",D15)</f>
        <v>MWth</v>
      </c>
      <c r="F41" s="274"/>
      <c r="G41" s="92">
        <f>0.081*'READ ME'!D103/'READ ME'!D106</f>
        <v>7.8944070840817004E-2</v>
      </c>
      <c r="H41" s="101">
        <f>4%*H37</f>
        <v>0.11080000000000001</v>
      </c>
      <c r="I41" s="101">
        <f>4%*I37</f>
        <v>0.12119999999999999</v>
      </c>
      <c r="J41" s="101"/>
      <c r="K41" s="101"/>
      <c r="L41" s="92">
        <f>G41-G41*'ETRI data'!$J$6*5-'ETRI data'!$K$6*'Data input old'!$G$37*5</f>
        <v>6.2640049242490101E-2</v>
      </c>
      <c r="M41" s="101">
        <f>4%*M37</f>
        <v>0.10400000000000001</v>
      </c>
      <c r="N41" s="101">
        <f>4%*N37</f>
        <v>0.12</v>
      </c>
      <c r="O41" s="101"/>
      <c r="P41" s="101"/>
      <c r="Q41" s="92">
        <f>L41-L41*'ETRI data'!$L$6*10-L41*'ETRI data'!$M$6*10</f>
        <v>5.8848282535851421E-2</v>
      </c>
      <c r="R41" s="101">
        <f>4%*R37</f>
        <v>9.1600000000000001E-2</v>
      </c>
      <c r="S41" s="101">
        <f>4%*S37</f>
        <v>0.11720000000000001</v>
      </c>
      <c r="T41" s="101"/>
      <c r="U41" s="10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row>
    <row r="42" spans="1:53" ht="15" customHeight="1" x14ac:dyDescent="0.35">
      <c r="A42" s="120"/>
      <c r="B42" s="245"/>
      <c r="C42" s="245"/>
      <c r="D42" s="272"/>
      <c r="E42" s="275"/>
      <c r="F42" s="214"/>
      <c r="G42" s="102" t="s">
        <v>180</v>
      </c>
      <c r="H42" s="102" t="s">
        <v>199</v>
      </c>
      <c r="I42" s="102" t="s">
        <v>200</v>
      </c>
      <c r="J42" s="102" t="s">
        <v>181</v>
      </c>
      <c r="K42" s="102" t="s">
        <v>181</v>
      </c>
      <c r="L42" s="102" t="s">
        <v>201</v>
      </c>
      <c r="M42" s="102" t="s">
        <v>199</v>
      </c>
      <c r="N42" s="102" t="s">
        <v>200</v>
      </c>
      <c r="O42" s="102" t="s">
        <v>181</v>
      </c>
      <c r="P42" s="102" t="s">
        <v>181</v>
      </c>
      <c r="Q42" s="102" t="s">
        <v>202</v>
      </c>
      <c r="R42" s="102" t="s">
        <v>203</v>
      </c>
      <c r="S42" s="102" t="s">
        <v>204</v>
      </c>
      <c r="T42" s="102" t="s">
        <v>181</v>
      </c>
      <c r="U42" s="102" t="s">
        <v>181</v>
      </c>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row>
    <row r="43" spans="1:53" ht="15.75" customHeight="1" x14ac:dyDescent="0.35">
      <c r="A43" s="120"/>
      <c r="B43" s="245" t="s">
        <v>207</v>
      </c>
      <c r="C43" s="245"/>
      <c r="D43" s="271" t="s">
        <v>198</v>
      </c>
      <c r="E43" s="273" t="str">
        <f>IF(D15="Please select","Please select 'Functional Unit' above",D15)</f>
        <v>MWth</v>
      </c>
      <c r="F43" s="274"/>
      <c r="G43" s="92">
        <f>0.013*'READ ME'!D103/'READ ME'!D106</f>
        <v>1.2670036060871866E-2</v>
      </c>
      <c r="H43" s="101"/>
      <c r="I43" s="101"/>
      <c r="J43" s="101"/>
      <c r="K43" s="101"/>
      <c r="L43" s="92">
        <f>G43</f>
        <v>1.2670036060871866E-2</v>
      </c>
      <c r="M43" s="101"/>
      <c r="N43" s="101"/>
      <c r="O43" s="101"/>
      <c r="P43" s="101"/>
      <c r="Q43" s="92">
        <f>L43</f>
        <v>1.2670036060871866E-2</v>
      </c>
      <c r="R43" s="101"/>
      <c r="S43" s="101"/>
      <c r="T43" s="101"/>
      <c r="U43" s="10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row>
    <row r="44" spans="1:53" ht="15" customHeight="1" x14ac:dyDescent="0.35">
      <c r="A44" s="120"/>
      <c r="B44" s="245"/>
      <c r="C44" s="245"/>
      <c r="D44" s="272"/>
      <c r="E44" s="275"/>
      <c r="F44" s="214"/>
      <c r="G44" s="102" t="s">
        <v>208</v>
      </c>
      <c r="H44" s="102" t="s">
        <v>181</v>
      </c>
      <c r="I44" s="102" t="s">
        <v>181</v>
      </c>
      <c r="J44" s="102" t="s">
        <v>181</v>
      </c>
      <c r="K44" s="102" t="s">
        <v>181</v>
      </c>
      <c r="L44" s="102" t="str">
        <f>G44</f>
        <v xml:space="preserve">SDE+ </v>
      </c>
      <c r="M44" s="102" t="s">
        <v>181</v>
      </c>
      <c r="N44" s="102" t="s">
        <v>181</v>
      </c>
      <c r="O44" s="102" t="s">
        <v>181</v>
      </c>
      <c r="P44" s="102" t="s">
        <v>181</v>
      </c>
      <c r="Q44" s="102" t="str">
        <f>L44</f>
        <v xml:space="preserve">SDE+ </v>
      </c>
      <c r="R44" s="102" t="s">
        <v>181</v>
      </c>
      <c r="S44" s="102" t="s">
        <v>181</v>
      </c>
      <c r="T44" s="102" t="s">
        <v>181</v>
      </c>
      <c r="U44" s="102" t="s">
        <v>181</v>
      </c>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row>
    <row r="45" spans="1:53" ht="87" x14ac:dyDescent="0.35">
      <c r="A45" s="120"/>
      <c r="B45" s="276" t="s">
        <v>209</v>
      </c>
      <c r="C45" s="276"/>
      <c r="D45" s="252" t="s">
        <v>210</v>
      </c>
      <c r="E45" s="252"/>
      <c r="F45" s="252"/>
      <c r="G45" s="252"/>
      <c r="H45" s="252"/>
      <c r="I45" s="252"/>
      <c r="J45" s="252"/>
      <c r="K45" s="252"/>
      <c r="L45" s="252"/>
      <c r="M45" s="252"/>
      <c r="N45" s="252"/>
      <c r="O45" s="252"/>
      <c r="P45" s="252"/>
      <c r="Q45" s="252"/>
      <c r="R45" s="252"/>
      <c r="S45" s="252"/>
      <c r="T45" s="252"/>
      <c r="U45" s="252"/>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BA45" s="107" t="str">
        <f>D45</f>
        <v xml:space="preserve">MWth refers to MWth input. The costs data are converted to 2015 as they were from 2018. 
Potential cost reductions are based on the  ETRI database. ETRI indicates cost reduction for anaerobic digestion installations  to be in the range of 2,1%-0,5% per year for the first 5 years and 0,1-0,6% per year for the following years. We apply the baseline cost reduction rates of ETRI. 
It is important to highlight that ETRI neither distinguishes between different digestion options nor explains how the CAPEX were determined. Therefore it is not possible to clarify why this dataset presents higher figures.  Next to that they only refer to anaerobic digestion related CAPEX and OPEX, whereas SDE+ data also include cost of a gas motor. Therefore a direct comparison of the datasets are not possible. </v>
      </c>
    </row>
    <row r="46" spans="1:53" ht="21" customHeight="1" x14ac:dyDescent="0.35">
      <c r="A46" s="120"/>
      <c r="B46" s="253" t="s">
        <v>104</v>
      </c>
      <c r="C46" s="253"/>
      <c r="D46" s="253"/>
      <c r="E46" s="253"/>
      <c r="F46" s="253"/>
      <c r="G46" s="253"/>
      <c r="H46" s="253"/>
      <c r="I46" s="253"/>
      <c r="J46" s="253"/>
      <c r="K46" s="253"/>
      <c r="L46" s="253"/>
      <c r="M46" s="253"/>
      <c r="N46" s="253"/>
      <c r="O46" s="253"/>
      <c r="P46" s="253"/>
      <c r="Q46" s="253"/>
      <c r="R46" s="253"/>
      <c r="S46" s="253"/>
      <c r="T46" s="253"/>
      <c r="U46" s="253"/>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row>
    <row r="47" spans="1:53" ht="15.75" customHeight="1" x14ac:dyDescent="0.35">
      <c r="A47" s="120"/>
      <c r="B47" s="267" t="s">
        <v>211</v>
      </c>
      <c r="C47" s="268"/>
      <c r="D47" s="250" t="s">
        <v>212</v>
      </c>
      <c r="E47" s="250"/>
      <c r="F47" s="250" t="s">
        <v>213</v>
      </c>
      <c r="G47" s="235" t="s">
        <v>183</v>
      </c>
      <c r="H47" s="235"/>
      <c r="I47" s="235"/>
      <c r="J47" s="235"/>
      <c r="K47" s="235"/>
      <c r="L47" s="236">
        <v>2030</v>
      </c>
      <c r="M47" s="236"/>
      <c r="N47" s="236"/>
      <c r="O47" s="236"/>
      <c r="P47" s="236"/>
      <c r="Q47" s="235">
        <v>2050</v>
      </c>
      <c r="R47" s="235"/>
      <c r="S47" s="235"/>
      <c r="T47" s="235"/>
      <c r="U47" s="235"/>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row>
    <row r="48" spans="1:53" x14ac:dyDescent="0.35">
      <c r="A48" s="120"/>
      <c r="B48" s="269"/>
      <c r="C48" s="270"/>
      <c r="D48" s="250"/>
      <c r="E48" s="250"/>
      <c r="F48" s="250"/>
      <c r="G48" s="175" t="s">
        <v>174</v>
      </c>
      <c r="H48" s="175" t="s">
        <v>175</v>
      </c>
      <c r="I48" s="175" t="s">
        <v>176</v>
      </c>
      <c r="J48" s="175" t="s">
        <v>177</v>
      </c>
      <c r="K48" s="175" t="s">
        <v>178</v>
      </c>
      <c r="L48" s="176" t="s">
        <v>174</v>
      </c>
      <c r="M48" s="176" t="s">
        <v>175</v>
      </c>
      <c r="N48" s="176" t="s">
        <v>176</v>
      </c>
      <c r="O48" s="176" t="s">
        <v>177</v>
      </c>
      <c r="P48" s="176" t="s">
        <v>178</v>
      </c>
      <c r="Q48" s="175" t="s">
        <v>174</v>
      </c>
      <c r="R48" s="175" t="s">
        <v>175</v>
      </c>
      <c r="S48" s="175" t="s">
        <v>176</v>
      </c>
      <c r="T48" s="175" t="s">
        <v>177</v>
      </c>
      <c r="U48" s="175" t="s">
        <v>178</v>
      </c>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row>
    <row r="49" spans="1:53" ht="15.75" customHeight="1" x14ac:dyDescent="0.35">
      <c r="A49" s="120"/>
      <c r="B49" s="223" t="s">
        <v>214</v>
      </c>
      <c r="C49" s="224"/>
      <c r="D49" s="243" t="s">
        <v>215</v>
      </c>
      <c r="E49" s="243"/>
      <c r="F49" s="262" t="s">
        <v>140</v>
      </c>
      <c r="G49" s="92">
        <v>-0.41</v>
      </c>
      <c r="H49" s="101"/>
      <c r="I49" s="101"/>
      <c r="J49" s="101"/>
      <c r="K49" s="101"/>
      <c r="L49" s="92"/>
      <c r="M49" s="101"/>
      <c r="N49" s="101"/>
      <c r="O49" s="101"/>
      <c r="P49" s="101"/>
      <c r="Q49" s="92"/>
      <c r="R49" s="101"/>
      <c r="S49" s="101"/>
      <c r="T49" s="101"/>
      <c r="U49" s="10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row>
    <row r="50" spans="1:53" x14ac:dyDescent="0.35">
      <c r="A50" s="120"/>
      <c r="B50" s="225"/>
      <c r="C50" s="226"/>
      <c r="D50" s="243"/>
      <c r="E50" s="243"/>
      <c r="F50" s="262"/>
      <c r="G50" s="103" t="s">
        <v>180</v>
      </c>
      <c r="H50" s="102" t="s">
        <v>181</v>
      </c>
      <c r="I50" s="102" t="s">
        <v>181</v>
      </c>
      <c r="J50" s="102" t="s">
        <v>181</v>
      </c>
      <c r="K50" s="102" t="s">
        <v>181</v>
      </c>
      <c r="L50" s="103" t="s">
        <v>181</v>
      </c>
      <c r="M50" s="102" t="s">
        <v>181</v>
      </c>
      <c r="N50" s="102" t="s">
        <v>181</v>
      </c>
      <c r="O50" s="102" t="s">
        <v>181</v>
      </c>
      <c r="P50" s="102" t="s">
        <v>181</v>
      </c>
      <c r="Q50" s="103" t="s">
        <v>181</v>
      </c>
      <c r="R50" s="102" t="s">
        <v>181</v>
      </c>
      <c r="S50" s="102" t="s">
        <v>181</v>
      </c>
      <c r="T50" s="102" t="s">
        <v>181</v>
      </c>
      <c r="U50" s="102" t="s">
        <v>181</v>
      </c>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row>
    <row r="51" spans="1:53" ht="15" customHeight="1" x14ac:dyDescent="0.35">
      <c r="A51" s="120"/>
      <c r="B51" s="225"/>
      <c r="C51" s="226"/>
      <c r="D51" s="263" t="s">
        <v>216</v>
      </c>
      <c r="E51" s="264"/>
      <c r="F51" s="262" t="s">
        <v>140</v>
      </c>
      <c r="G51" s="92">
        <v>-0.44</v>
      </c>
      <c r="H51" s="101"/>
      <c r="I51" s="101"/>
      <c r="J51" s="101"/>
      <c r="K51" s="101"/>
      <c r="L51" s="92"/>
      <c r="M51" s="101"/>
      <c r="N51" s="101"/>
      <c r="O51" s="101"/>
      <c r="P51" s="101"/>
      <c r="Q51" s="92"/>
      <c r="R51" s="101"/>
      <c r="S51" s="101"/>
      <c r="T51" s="101"/>
      <c r="U51" s="10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row>
    <row r="52" spans="1:53" x14ac:dyDescent="0.35">
      <c r="A52" s="120"/>
      <c r="B52" s="225"/>
      <c r="C52" s="226"/>
      <c r="D52" s="265"/>
      <c r="E52" s="266"/>
      <c r="F52" s="262"/>
      <c r="G52" s="102" t="s">
        <v>180</v>
      </c>
      <c r="H52" s="102" t="s">
        <v>181</v>
      </c>
      <c r="I52" s="102" t="s">
        <v>181</v>
      </c>
      <c r="J52" s="102" t="s">
        <v>181</v>
      </c>
      <c r="K52" s="102" t="s">
        <v>181</v>
      </c>
      <c r="L52" s="102" t="s">
        <v>181</v>
      </c>
      <c r="M52" s="102" t="s">
        <v>181</v>
      </c>
      <c r="N52" s="102" t="s">
        <v>181</v>
      </c>
      <c r="O52" s="102" t="s">
        <v>181</v>
      </c>
      <c r="P52" s="102" t="s">
        <v>181</v>
      </c>
      <c r="Q52" s="102" t="s">
        <v>181</v>
      </c>
      <c r="R52" s="102" t="s">
        <v>181</v>
      </c>
      <c r="S52" s="102" t="s">
        <v>181</v>
      </c>
      <c r="T52" s="102" t="s">
        <v>181</v>
      </c>
      <c r="U52" s="102" t="s">
        <v>181</v>
      </c>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row>
    <row r="53" spans="1:53" x14ac:dyDescent="0.35">
      <c r="A53" s="120"/>
      <c r="B53" s="225"/>
      <c r="C53" s="226"/>
      <c r="D53" s="243" t="s">
        <v>217</v>
      </c>
      <c r="E53" s="243"/>
      <c r="F53" s="262" t="s">
        <v>140</v>
      </c>
      <c r="G53" s="92">
        <v>1</v>
      </c>
      <c r="H53" s="101"/>
      <c r="I53" s="101"/>
      <c r="J53" s="101"/>
      <c r="K53" s="101"/>
      <c r="L53" s="92"/>
      <c r="M53" s="101"/>
      <c r="N53" s="101"/>
      <c r="O53" s="101"/>
      <c r="P53" s="101"/>
      <c r="Q53" s="92"/>
      <c r="R53" s="101"/>
      <c r="S53" s="101"/>
      <c r="T53" s="101"/>
      <c r="U53" s="10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row>
    <row r="54" spans="1:53" x14ac:dyDescent="0.35">
      <c r="A54" s="120"/>
      <c r="B54" s="225"/>
      <c r="C54" s="226"/>
      <c r="D54" s="243"/>
      <c r="E54" s="243"/>
      <c r="F54" s="262"/>
      <c r="G54" s="102" t="s">
        <v>180</v>
      </c>
      <c r="H54" s="102" t="s">
        <v>181</v>
      </c>
      <c r="I54" s="102" t="s">
        <v>181</v>
      </c>
      <c r="J54" s="102" t="s">
        <v>181</v>
      </c>
      <c r="K54" s="102" t="s">
        <v>181</v>
      </c>
      <c r="L54" s="102" t="s">
        <v>181</v>
      </c>
      <c r="M54" s="102" t="s">
        <v>181</v>
      </c>
      <c r="N54" s="102" t="s">
        <v>181</v>
      </c>
      <c r="O54" s="102" t="s">
        <v>181</v>
      </c>
      <c r="P54" s="102" t="s">
        <v>181</v>
      </c>
      <c r="Q54" s="102" t="s">
        <v>181</v>
      </c>
      <c r="R54" s="102" t="s">
        <v>181</v>
      </c>
      <c r="S54" s="102" t="s">
        <v>181</v>
      </c>
      <c r="T54" s="102" t="s">
        <v>181</v>
      </c>
      <c r="U54" s="102" t="s">
        <v>181</v>
      </c>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row>
    <row r="55" spans="1:53" x14ac:dyDescent="0.35">
      <c r="A55" s="120"/>
      <c r="B55" s="225"/>
      <c r="C55" s="226"/>
      <c r="D55" s="243" t="s">
        <v>215</v>
      </c>
      <c r="E55" s="243"/>
      <c r="F55" s="262" t="s">
        <v>140</v>
      </c>
      <c r="G55" s="92">
        <v>2.3E-2</v>
      </c>
      <c r="H55" s="101"/>
      <c r="I55" s="101"/>
      <c r="J55" s="101"/>
      <c r="K55" s="101"/>
      <c r="L55" s="92"/>
      <c r="M55" s="101"/>
      <c r="N55" s="101"/>
      <c r="O55" s="101"/>
      <c r="P55" s="101"/>
      <c r="Q55" s="92"/>
      <c r="R55" s="101"/>
      <c r="S55" s="101"/>
      <c r="T55" s="101"/>
      <c r="U55" s="10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row>
    <row r="56" spans="1:53" x14ac:dyDescent="0.35">
      <c r="A56" s="120"/>
      <c r="B56" s="227"/>
      <c r="C56" s="228"/>
      <c r="D56" s="243"/>
      <c r="E56" s="243"/>
      <c r="F56" s="262"/>
      <c r="G56" s="102" t="s">
        <v>181</v>
      </c>
      <c r="H56" s="102" t="s">
        <v>181</v>
      </c>
      <c r="I56" s="102" t="s">
        <v>181</v>
      </c>
      <c r="J56" s="102" t="s">
        <v>181</v>
      </c>
      <c r="K56" s="102" t="s">
        <v>181</v>
      </c>
      <c r="L56" s="102" t="s">
        <v>181</v>
      </c>
      <c r="M56" s="102" t="s">
        <v>181</v>
      </c>
      <c r="N56" s="102" t="s">
        <v>181</v>
      </c>
      <c r="O56" s="102" t="s">
        <v>181</v>
      </c>
      <c r="P56" s="102" t="s">
        <v>181</v>
      </c>
      <c r="Q56" s="102" t="s">
        <v>181</v>
      </c>
      <c r="R56" s="102" t="s">
        <v>181</v>
      </c>
      <c r="S56" s="102" t="s">
        <v>181</v>
      </c>
      <c r="T56" s="102" t="s">
        <v>181</v>
      </c>
      <c r="U56" s="102" t="s">
        <v>181</v>
      </c>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row>
    <row r="57" spans="1:53" ht="24" customHeight="1" x14ac:dyDescent="0.35">
      <c r="A57" s="120"/>
      <c r="B57" s="245" t="s">
        <v>218</v>
      </c>
      <c r="C57" s="245"/>
      <c r="D57" s="252" t="s">
        <v>219</v>
      </c>
      <c r="E57" s="252"/>
      <c r="F57" s="252"/>
      <c r="G57" s="252"/>
      <c r="H57" s="252"/>
      <c r="I57" s="252"/>
      <c r="J57" s="252"/>
      <c r="K57" s="252"/>
      <c r="L57" s="252"/>
      <c r="M57" s="252"/>
      <c r="N57" s="252"/>
      <c r="O57" s="252"/>
      <c r="P57" s="252"/>
      <c r="Q57" s="252"/>
      <c r="R57" s="252"/>
      <c r="S57" s="252"/>
      <c r="T57" s="252"/>
      <c r="U57" s="252"/>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BA57" s="107" t="str">
        <f>D57</f>
        <v>In SDE+ the generic energy content of the wet biomass is assumed as 3,4 GJ/ton. Roughly 5% of biogas is used to meet the internal heat demand. The electricity demand refers to the electricity needed for the digestion process.</v>
      </c>
    </row>
    <row r="58" spans="1:53" ht="21" customHeight="1" x14ac:dyDescent="0.35">
      <c r="A58" s="120"/>
      <c r="B58" s="254" t="s">
        <v>220</v>
      </c>
      <c r="C58" s="255"/>
      <c r="D58" s="255"/>
      <c r="E58" s="255"/>
      <c r="F58" s="255"/>
      <c r="G58" s="255"/>
      <c r="H58" s="255"/>
      <c r="I58" s="255"/>
      <c r="J58" s="255"/>
      <c r="K58" s="255"/>
      <c r="L58" s="255"/>
      <c r="M58" s="255"/>
      <c r="N58" s="255"/>
      <c r="O58" s="255"/>
      <c r="P58" s="255"/>
      <c r="Q58" s="255"/>
      <c r="R58" s="255"/>
      <c r="S58" s="255"/>
      <c r="T58" s="255"/>
      <c r="U58" s="255"/>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row>
    <row r="59" spans="1:53" ht="16.5" customHeight="1" x14ac:dyDescent="0.35">
      <c r="A59" s="120"/>
      <c r="B59" s="223" t="s">
        <v>221</v>
      </c>
      <c r="C59" s="224"/>
      <c r="D59" s="256" t="s">
        <v>222</v>
      </c>
      <c r="E59" s="257"/>
      <c r="F59" s="260" t="s">
        <v>213</v>
      </c>
      <c r="G59" s="235" t="s">
        <v>183</v>
      </c>
      <c r="H59" s="235"/>
      <c r="I59" s="235"/>
      <c r="J59" s="235"/>
      <c r="K59" s="235"/>
      <c r="L59" s="236">
        <v>2030</v>
      </c>
      <c r="M59" s="236"/>
      <c r="N59" s="236"/>
      <c r="O59" s="236"/>
      <c r="P59" s="236"/>
      <c r="Q59" s="235">
        <v>2050</v>
      </c>
      <c r="R59" s="235"/>
      <c r="S59" s="235"/>
      <c r="T59" s="235"/>
      <c r="U59" s="235"/>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row>
    <row r="60" spans="1:53" x14ac:dyDescent="0.35">
      <c r="A60" s="120"/>
      <c r="B60" s="225"/>
      <c r="C60" s="226"/>
      <c r="D60" s="258"/>
      <c r="E60" s="259"/>
      <c r="F60" s="261"/>
      <c r="G60" s="175" t="s">
        <v>174</v>
      </c>
      <c r="H60" s="175" t="s">
        <v>175</v>
      </c>
      <c r="I60" s="175" t="s">
        <v>176</v>
      </c>
      <c r="J60" s="175" t="s">
        <v>177</v>
      </c>
      <c r="K60" s="175" t="s">
        <v>178</v>
      </c>
      <c r="L60" s="176" t="s">
        <v>174</v>
      </c>
      <c r="M60" s="176" t="s">
        <v>175</v>
      </c>
      <c r="N60" s="176" t="s">
        <v>176</v>
      </c>
      <c r="O60" s="176" t="s">
        <v>177</v>
      </c>
      <c r="P60" s="176" t="s">
        <v>178</v>
      </c>
      <c r="Q60" s="175" t="s">
        <v>174</v>
      </c>
      <c r="R60" s="175" t="s">
        <v>175</v>
      </c>
      <c r="S60" s="175" t="s">
        <v>176</v>
      </c>
      <c r="T60" s="175" t="s">
        <v>177</v>
      </c>
      <c r="U60" s="175" t="s">
        <v>178</v>
      </c>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row>
    <row r="61" spans="1:53" ht="15.75" customHeight="1" x14ac:dyDescent="0.35">
      <c r="A61" s="120"/>
      <c r="B61" s="225"/>
      <c r="C61" s="226"/>
      <c r="D61" s="243" t="s">
        <v>223</v>
      </c>
      <c r="E61" s="243"/>
      <c r="F61" s="251" t="s">
        <v>224</v>
      </c>
      <c r="G61" s="160">
        <v>0.8</v>
      </c>
      <c r="H61" s="101"/>
      <c r="I61" s="101"/>
      <c r="J61" s="101"/>
      <c r="K61" s="101"/>
      <c r="L61" s="92"/>
      <c r="M61" s="101"/>
      <c r="N61" s="101"/>
      <c r="O61" s="101"/>
      <c r="P61" s="101"/>
      <c r="Q61" s="92"/>
      <c r="R61" s="101"/>
      <c r="S61" s="101"/>
      <c r="T61" s="101"/>
      <c r="U61" s="10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row>
    <row r="62" spans="1:53" x14ac:dyDescent="0.35">
      <c r="A62" s="120"/>
      <c r="B62" s="225"/>
      <c r="C62" s="226"/>
      <c r="D62" s="243"/>
      <c r="E62" s="243"/>
      <c r="F62" s="251"/>
      <c r="G62" s="103" t="s">
        <v>181</v>
      </c>
      <c r="H62" s="102" t="s">
        <v>181</v>
      </c>
      <c r="I62" s="102" t="s">
        <v>181</v>
      </c>
      <c r="J62" s="102" t="s">
        <v>181</v>
      </c>
      <c r="K62" s="102" t="s">
        <v>181</v>
      </c>
      <c r="L62" s="103" t="s">
        <v>181</v>
      </c>
      <c r="M62" s="102" t="s">
        <v>181</v>
      </c>
      <c r="N62" s="102" t="s">
        <v>181</v>
      </c>
      <c r="O62" s="102" t="s">
        <v>181</v>
      </c>
      <c r="P62" s="102" t="s">
        <v>181</v>
      </c>
      <c r="Q62" s="103" t="s">
        <v>181</v>
      </c>
      <c r="R62" s="102" t="s">
        <v>181</v>
      </c>
      <c r="S62" s="102" t="s">
        <v>181</v>
      </c>
      <c r="T62" s="102" t="s">
        <v>181</v>
      </c>
      <c r="U62" s="102" t="s">
        <v>181</v>
      </c>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row>
    <row r="63" spans="1:53" x14ac:dyDescent="0.35">
      <c r="A63" s="120"/>
      <c r="B63" s="225"/>
      <c r="C63" s="226"/>
      <c r="D63" s="243" t="s">
        <v>193</v>
      </c>
      <c r="E63" s="243"/>
      <c r="F63" s="251" t="s">
        <v>193</v>
      </c>
      <c r="G63" s="92"/>
      <c r="H63" s="101"/>
      <c r="I63" s="101"/>
      <c r="J63" s="101"/>
      <c r="K63" s="101"/>
      <c r="L63" s="92"/>
      <c r="M63" s="101"/>
      <c r="N63" s="101"/>
      <c r="O63" s="101"/>
      <c r="P63" s="101"/>
      <c r="Q63" s="92"/>
      <c r="R63" s="101"/>
      <c r="S63" s="101"/>
      <c r="T63" s="101"/>
      <c r="U63" s="10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row>
    <row r="64" spans="1:53" x14ac:dyDescent="0.35">
      <c r="A64" s="120"/>
      <c r="B64" s="227"/>
      <c r="C64" s="228"/>
      <c r="D64" s="243"/>
      <c r="E64" s="243"/>
      <c r="F64" s="251"/>
      <c r="G64" s="102" t="s">
        <v>181</v>
      </c>
      <c r="H64" s="102" t="s">
        <v>181</v>
      </c>
      <c r="I64" s="102" t="s">
        <v>181</v>
      </c>
      <c r="J64" s="102" t="s">
        <v>181</v>
      </c>
      <c r="K64" s="102" t="s">
        <v>181</v>
      </c>
      <c r="L64" s="102" t="s">
        <v>181</v>
      </c>
      <c r="M64" s="102" t="s">
        <v>181</v>
      </c>
      <c r="N64" s="102" t="s">
        <v>181</v>
      </c>
      <c r="O64" s="102" t="s">
        <v>181</v>
      </c>
      <c r="P64" s="102" t="s">
        <v>181</v>
      </c>
      <c r="Q64" s="102" t="s">
        <v>181</v>
      </c>
      <c r="R64" s="102" t="s">
        <v>181</v>
      </c>
      <c r="S64" s="102" t="s">
        <v>181</v>
      </c>
      <c r="T64" s="102" t="s">
        <v>181</v>
      </c>
      <c r="U64" s="102" t="s">
        <v>181</v>
      </c>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row>
    <row r="65" spans="1:53" ht="69" customHeight="1" x14ac:dyDescent="0.35">
      <c r="A65" s="120"/>
      <c r="B65" s="245" t="s">
        <v>225</v>
      </c>
      <c r="C65" s="245"/>
      <c r="D65" s="252" t="s">
        <v>226</v>
      </c>
      <c r="E65" s="252"/>
      <c r="F65" s="252"/>
      <c r="G65" s="252"/>
      <c r="H65" s="252"/>
      <c r="I65" s="252"/>
      <c r="J65" s="252"/>
      <c r="K65" s="252"/>
      <c r="L65" s="252"/>
      <c r="M65" s="252"/>
      <c r="N65" s="252"/>
      <c r="O65" s="252"/>
      <c r="P65" s="252"/>
      <c r="Q65" s="252"/>
      <c r="R65" s="252"/>
      <c r="S65" s="252"/>
      <c r="T65" s="252"/>
      <c r="U65" s="252"/>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BA65" s="107" t="str">
        <f>D65</f>
        <v>Digestate can be: 
1) Composted in case the input stream consists of GFT (vegetables, fruit and garden waste) and sold to be used on agricultural land when it complies with the conditions of the Fertilizer Act. It should include no animal manure to be classified as compost.
2) Further treated in case the waste stream is organic waste. The digestate treatment mainly consists of dewatering, drying and storage. The dried product can further be pelletized and become suitable as fuel (for instance for co-firing plant). An indicative price for this fuel can be around 35 Euro/ton.</v>
      </c>
    </row>
    <row r="66" spans="1:53" ht="21" customHeight="1" x14ac:dyDescent="0.35">
      <c r="A66" s="120"/>
      <c r="B66" s="253" t="s">
        <v>227</v>
      </c>
      <c r="C66" s="253"/>
      <c r="D66" s="253"/>
      <c r="E66" s="253"/>
      <c r="F66" s="253"/>
      <c r="G66" s="253"/>
      <c r="H66" s="253"/>
      <c r="I66" s="253"/>
      <c r="J66" s="253"/>
      <c r="K66" s="253"/>
      <c r="L66" s="253"/>
      <c r="M66" s="253"/>
      <c r="N66" s="253"/>
      <c r="O66" s="253"/>
      <c r="P66" s="253"/>
      <c r="Q66" s="253"/>
      <c r="R66" s="253"/>
      <c r="S66" s="253"/>
      <c r="T66" s="253"/>
      <c r="U66" s="253"/>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row>
    <row r="67" spans="1:53" ht="16.5" customHeight="1" x14ac:dyDescent="0.35">
      <c r="A67" s="120"/>
      <c r="B67" s="249" t="s">
        <v>116</v>
      </c>
      <c r="C67" s="249"/>
      <c r="D67" s="250" t="s">
        <v>228</v>
      </c>
      <c r="E67" s="250"/>
      <c r="F67" s="250" t="s">
        <v>213</v>
      </c>
      <c r="G67" s="235" t="s">
        <v>183</v>
      </c>
      <c r="H67" s="235"/>
      <c r="I67" s="235"/>
      <c r="J67" s="235"/>
      <c r="K67" s="235"/>
      <c r="L67" s="236">
        <v>2030</v>
      </c>
      <c r="M67" s="236"/>
      <c r="N67" s="236"/>
      <c r="O67" s="236"/>
      <c r="P67" s="236"/>
      <c r="Q67" s="235">
        <v>2050</v>
      </c>
      <c r="R67" s="235"/>
      <c r="S67" s="235"/>
      <c r="T67" s="235"/>
      <c r="U67" s="235"/>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row>
    <row r="68" spans="1:53" ht="15.75" customHeight="1" x14ac:dyDescent="0.35">
      <c r="A68" s="120"/>
      <c r="B68" s="249"/>
      <c r="C68" s="249"/>
      <c r="D68" s="250"/>
      <c r="E68" s="250"/>
      <c r="F68" s="250"/>
      <c r="G68" s="175" t="s">
        <v>174</v>
      </c>
      <c r="H68" s="175" t="s">
        <v>175</v>
      </c>
      <c r="I68" s="175" t="s">
        <v>176</v>
      </c>
      <c r="J68" s="175" t="s">
        <v>177</v>
      </c>
      <c r="K68" s="175" t="s">
        <v>178</v>
      </c>
      <c r="L68" s="176" t="s">
        <v>174</v>
      </c>
      <c r="M68" s="176" t="s">
        <v>175</v>
      </c>
      <c r="N68" s="176" t="s">
        <v>176</v>
      </c>
      <c r="O68" s="176" t="s">
        <v>177</v>
      </c>
      <c r="P68" s="176" t="s">
        <v>178</v>
      </c>
      <c r="Q68" s="175" t="s">
        <v>174</v>
      </c>
      <c r="R68" s="175" t="s">
        <v>175</v>
      </c>
      <c r="S68" s="175" t="s">
        <v>176</v>
      </c>
      <c r="T68" s="175" t="s">
        <v>177</v>
      </c>
      <c r="U68" s="175" t="s">
        <v>178</v>
      </c>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row>
    <row r="69" spans="1:53" ht="15.75" customHeight="1" x14ac:dyDescent="0.35">
      <c r="A69" s="120"/>
      <c r="B69" s="249"/>
      <c r="C69" s="249"/>
      <c r="D69" s="243" t="s">
        <v>192</v>
      </c>
      <c r="E69" s="243"/>
      <c r="F69" s="244" t="s">
        <v>192</v>
      </c>
      <c r="G69" s="92"/>
      <c r="H69" s="101"/>
      <c r="I69" s="101"/>
      <c r="J69" s="101"/>
      <c r="K69" s="101"/>
      <c r="L69" s="92"/>
      <c r="M69" s="101"/>
      <c r="N69" s="101"/>
      <c r="O69" s="101"/>
      <c r="P69" s="101"/>
      <c r="Q69" s="92"/>
      <c r="R69" s="101"/>
      <c r="S69" s="101"/>
      <c r="T69" s="101"/>
      <c r="U69" s="10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row>
    <row r="70" spans="1:53" ht="15.75" customHeight="1" x14ac:dyDescent="0.35">
      <c r="A70" s="120"/>
      <c r="B70" s="249"/>
      <c r="C70" s="249"/>
      <c r="D70" s="243"/>
      <c r="E70" s="243"/>
      <c r="F70" s="244"/>
      <c r="G70" s="103" t="s">
        <v>181</v>
      </c>
      <c r="H70" s="102" t="s">
        <v>181</v>
      </c>
      <c r="I70" s="102" t="s">
        <v>181</v>
      </c>
      <c r="J70" s="102" t="s">
        <v>181</v>
      </c>
      <c r="K70" s="102" t="s">
        <v>181</v>
      </c>
      <c r="L70" s="103" t="s">
        <v>181</v>
      </c>
      <c r="M70" s="102" t="s">
        <v>181</v>
      </c>
      <c r="N70" s="102" t="s">
        <v>181</v>
      </c>
      <c r="O70" s="102" t="s">
        <v>181</v>
      </c>
      <c r="P70" s="102" t="s">
        <v>181</v>
      </c>
      <c r="Q70" s="103" t="s">
        <v>181</v>
      </c>
      <c r="R70" s="102" t="s">
        <v>181</v>
      </c>
      <c r="S70" s="102" t="s">
        <v>181</v>
      </c>
      <c r="T70" s="102" t="s">
        <v>181</v>
      </c>
      <c r="U70" s="102" t="s">
        <v>181</v>
      </c>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row>
    <row r="71" spans="1:53" ht="15.75" customHeight="1" x14ac:dyDescent="0.35">
      <c r="A71" s="120"/>
      <c r="B71" s="249"/>
      <c r="C71" s="249"/>
      <c r="D71" s="243" t="s">
        <v>192</v>
      </c>
      <c r="E71" s="243"/>
      <c r="F71" s="244" t="s">
        <v>192</v>
      </c>
      <c r="G71" s="92"/>
      <c r="H71" s="101"/>
      <c r="I71" s="101"/>
      <c r="J71" s="101"/>
      <c r="K71" s="101"/>
      <c r="L71" s="92"/>
      <c r="M71" s="101"/>
      <c r="N71" s="101"/>
      <c r="O71" s="101"/>
      <c r="P71" s="101"/>
      <c r="Q71" s="92"/>
      <c r="R71" s="101"/>
      <c r="S71" s="101"/>
      <c r="T71" s="101"/>
      <c r="U71" s="10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row>
    <row r="72" spans="1:53" ht="15.75" customHeight="1" x14ac:dyDescent="0.35">
      <c r="A72" s="120"/>
      <c r="B72" s="249"/>
      <c r="C72" s="249"/>
      <c r="D72" s="243"/>
      <c r="E72" s="243"/>
      <c r="F72" s="244"/>
      <c r="G72" s="102" t="s">
        <v>181</v>
      </c>
      <c r="H72" s="102" t="s">
        <v>181</v>
      </c>
      <c r="I72" s="102" t="s">
        <v>181</v>
      </c>
      <c r="J72" s="102" t="s">
        <v>181</v>
      </c>
      <c r="K72" s="102" t="s">
        <v>181</v>
      </c>
      <c r="L72" s="102" t="s">
        <v>181</v>
      </c>
      <c r="M72" s="102" t="s">
        <v>181</v>
      </c>
      <c r="N72" s="102" t="s">
        <v>181</v>
      </c>
      <c r="O72" s="102" t="s">
        <v>181</v>
      </c>
      <c r="P72" s="102" t="s">
        <v>181</v>
      </c>
      <c r="Q72" s="102" t="s">
        <v>181</v>
      </c>
      <c r="R72" s="102" t="s">
        <v>181</v>
      </c>
      <c r="S72" s="102" t="s">
        <v>181</v>
      </c>
      <c r="T72" s="102" t="s">
        <v>181</v>
      </c>
      <c r="U72" s="102" t="s">
        <v>181</v>
      </c>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row>
    <row r="73" spans="1:53" ht="15.75" customHeight="1" x14ac:dyDescent="0.35">
      <c r="A73" s="120"/>
      <c r="B73" s="249"/>
      <c r="C73" s="249"/>
      <c r="D73" s="243" t="s">
        <v>192</v>
      </c>
      <c r="E73" s="243"/>
      <c r="F73" s="244" t="s">
        <v>192</v>
      </c>
      <c r="G73" s="92"/>
      <c r="H73" s="101"/>
      <c r="I73" s="101"/>
      <c r="J73" s="101"/>
      <c r="K73" s="101"/>
      <c r="L73" s="92"/>
      <c r="M73" s="101"/>
      <c r="N73" s="101"/>
      <c r="O73" s="101"/>
      <c r="P73" s="101"/>
      <c r="Q73" s="92"/>
      <c r="R73" s="101"/>
      <c r="S73" s="101"/>
      <c r="T73" s="101"/>
      <c r="U73" s="10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row>
    <row r="74" spans="1:53" ht="15.75" customHeight="1" x14ac:dyDescent="0.35">
      <c r="A74" s="120"/>
      <c r="B74" s="249"/>
      <c r="C74" s="249"/>
      <c r="D74" s="243"/>
      <c r="E74" s="243"/>
      <c r="F74" s="244"/>
      <c r="G74" s="102" t="s">
        <v>181</v>
      </c>
      <c r="H74" s="102" t="s">
        <v>181</v>
      </c>
      <c r="I74" s="102" t="s">
        <v>181</v>
      </c>
      <c r="J74" s="102" t="s">
        <v>181</v>
      </c>
      <c r="K74" s="102" t="s">
        <v>181</v>
      </c>
      <c r="L74" s="102" t="s">
        <v>181</v>
      </c>
      <c r="M74" s="102" t="s">
        <v>181</v>
      </c>
      <c r="N74" s="102" t="s">
        <v>181</v>
      </c>
      <c r="O74" s="102" t="s">
        <v>181</v>
      </c>
      <c r="P74" s="102" t="s">
        <v>181</v>
      </c>
      <c r="Q74" s="102" t="s">
        <v>181</v>
      </c>
      <c r="R74" s="102" t="s">
        <v>181</v>
      </c>
      <c r="S74" s="102" t="s">
        <v>181</v>
      </c>
      <c r="T74" s="102" t="s">
        <v>181</v>
      </c>
      <c r="U74" s="102" t="s">
        <v>181</v>
      </c>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row>
    <row r="75" spans="1:53" ht="15.75" customHeight="1" x14ac:dyDescent="0.35">
      <c r="A75" s="120"/>
      <c r="B75" s="249"/>
      <c r="C75" s="249"/>
      <c r="D75" s="243" t="s">
        <v>192</v>
      </c>
      <c r="E75" s="243"/>
      <c r="F75" s="244" t="s">
        <v>192</v>
      </c>
      <c r="G75" s="92"/>
      <c r="H75" s="101"/>
      <c r="I75" s="101"/>
      <c r="J75" s="101"/>
      <c r="K75" s="101"/>
      <c r="L75" s="92"/>
      <c r="M75" s="101"/>
      <c r="N75" s="101"/>
      <c r="O75" s="101"/>
      <c r="P75" s="101"/>
      <c r="Q75" s="92"/>
      <c r="R75" s="101"/>
      <c r="S75" s="101"/>
      <c r="T75" s="101"/>
      <c r="U75" s="10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row>
    <row r="76" spans="1:53" ht="16.5" customHeight="1" x14ac:dyDescent="0.35">
      <c r="A76" s="120"/>
      <c r="B76" s="249"/>
      <c r="C76" s="249"/>
      <c r="D76" s="243"/>
      <c r="E76" s="243"/>
      <c r="F76" s="244"/>
      <c r="G76" s="102" t="s">
        <v>181</v>
      </c>
      <c r="H76" s="102" t="s">
        <v>181</v>
      </c>
      <c r="I76" s="102" t="s">
        <v>181</v>
      </c>
      <c r="J76" s="102" t="s">
        <v>181</v>
      </c>
      <c r="K76" s="102" t="s">
        <v>181</v>
      </c>
      <c r="L76" s="102" t="s">
        <v>181</v>
      </c>
      <c r="M76" s="102" t="s">
        <v>181</v>
      </c>
      <c r="N76" s="102" t="s">
        <v>181</v>
      </c>
      <c r="O76" s="102" t="s">
        <v>181</v>
      </c>
      <c r="P76" s="102" t="s">
        <v>181</v>
      </c>
      <c r="Q76" s="102" t="s">
        <v>181</v>
      </c>
      <c r="R76" s="102" t="s">
        <v>181</v>
      </c>
      <c r="S76" s="102" t="s">
        <v>181</v>
      </c>
      <c r="T76" s="102" t="s">
        <v>181</v>
      </c>
      <c r="U76" s="102" t="s">
        <v>181</v>
      </c>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row>
    <row r="77" spans="1:53" ht="40.5" customHeight="1" x14ac:dyDescent="0.35">
      <c r="A77" s="120"/>
      <c r="B77" s="245" t="s">
        <v>229</v>
      </c>
      <c r="C77" s="245"/>
      <c r="D77" s="246" t="s">
        <v>230</v>
      </c>
      <c r="E77" s="247"/>
      <c r="F77" s="247"/>
      <c r="G77" s="247"/>
      <c r="H77" s="247"/>
      <c r="I77" s="247"/>
      <c r="J77" s="247"/>
      <c r="K77" s="247"/>
      <c r="L77" s="247"/>
      <c r="M77" s="247"/>
      <c r="N77" s="247"/>
      <c r="O77" s="247"/>
      <c r="P77" s="247"/>
      <c r="Q77" s="247"/>
      <c r="R77" s="247"/>
      <c r="S77" s="247"/>
      <c r="T77" s="247"/>
      <c r="U77" s="248"/>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BA77" s="107" t="str">
        <f>D77</f>
        <v>Explain here (e.g. emission factors if calculated)</v>
      </c>
    </row>
    <row r="78" spans="1:53" ht="21" customHeight="1" x14ac:dyDescent="0.35">
      <c r="A78" s="120"/>
      <c r="B78" s="220" t="s">
        <v>231</v>
      </c>
      <c r="C78" s="221"/>
      <c r="D78" s="221"/>
      <c r="E78" s="221"/>
      <c r="F78" s="221"/>
      <c r="G78" s="221"/>
      <c r="H78" s="221"/>
      <c r="I78" s="221"/>
      <c r="J78" s="221"/>
      <c r="K78" s="221"/>
      <c r="L78" s="221"/>
      <c r="M78" s="221"/>
      <c r="N78" s="221"/>
      <c r="O78" s="221"/>
      <c r="P78" s="221"/>
      <c r="Q78" s="221"/>
      <c r="R78" s="221"/>
      <c r="S78" s="221"/>
      <c r="T78" s="221"/>
      <c r="U78" s="222"/>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row>
    <row r="79" spans="1:53" ht="15.75" customHeight="1" x14ac:dyDescent="0.35">
      <c r="A79" s="120"/>
      <c r="B79" s="223" t="s">
        <v>232</v>
      </c>
      <c r="C79" s="224"/>
      <c r="D79" s="229" t="s">
        <v>194</v>
      </c>
      <c r="E79" s="230"/>
      <c r="F79" s="231"/>
      <c r="G79" s="235" t="s">
        <v>183</v>
      </c>
      <c r="H79" s="235"/>
      <c r="I79" s="235"/>
      <c r="J79" s="235"/>
      <c r="K79" s="235"/>
      <c r="L79" s="236">
        <v>2030</v>
      </c>
      <c r="M79" s="236"/>
      <c r="N79" s="236"/>
      <c r="O79" s="236"/>
      <c r="P79" s="236"/>
      <c r="Q79" s="235">
        <v>2050</v>
      </c>
      <c r="R79" s="235"/>
      <c r="S79" s="235"/>
      <c r="T79" s="235"/>
      <c r="U79" s="235"/>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row>
    <row r="80" spans="1:53" x14ac:dyDescent="0.35">
      <c r="A80" s="120"/>
      <c r="B80" s="225"/>
      <c r="C80" s="226"/>
      <c r="D80" s="232"/>
      <c r="E80" s="233"/>
      <c r="F80" s="234"/>
      <c r="G80" s="175" t="s">
        <v>174</v>
      </c>
      <c r="H80" s="175" t="s">
        <v>175</v>
      </c>
      <c r="I80" s="175" t="s">
        <v>176</v>
      </c>
      <c r="J80" s="175" t="s">
        <v>177</v>
      </c>
      <c r="K80" s="175" t="s">
        <v>178</v>
      </c>
      <c r="L80" s="176" t="s">
        <v>174</v>
      </c>
      <c r="M80" s="176" t="s">
        <v>175</v>
      </c>
      <c r="N80" s="176" t="s">
        <v>176</v>
      </c>
      <c r="O80" s="176" t="s">
        <v>177</v>
      </c>
      <c r="P80" s="176" t="s">
        <v>178</v>
      </c>
      <c r="Q80" s="175" t="s">
        <v>174</v>
      </c>
      <c r="R80" s="175" t="s">
        <v>175</v>
      </c>
      <c r="S80" s="175" t="s">
        <v>176</v>
      </c>
      <c r="T80" s="175" t="s">
        <v>177</v>
      </c>
      <c r="U80" s="175" t="s">
        <v>178</v>
      </c>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row>
    <row r="81" spans="1:53" x14ac:dyDescent="0.35">
      <c r="A81" s="120"/>
      <c r="B81" s="225"/>
      <c r="C81" s="226"/>
      <c r="D81" s="237" t="s">
        <v>193</v>
      </c>
      <c r="E81" s="238"/>
      <c r="F81" s="239"/>
      <c r="G81" s="101"/>
      <c r="H81" s="101"/>
      <c r="I81" s="101"/>
      <c r="J81" s="101"/>
      <c r="K81" s="101"/>
      <c r="L81" s="101"/>
      <c r="M81" s="101"/>
      <c r="N81" s="101"/>
      <c r="O81" s="101"/>
      <c r="P81" s="101"/>
      <c r="Q81" s="101"/>
      <c r="R81" s="101"/>
      <c r="S81" s="101"/>
      <c r="T81" s="101"/>
      <c r="U81" s="10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row>
    <row r="82" spans="1:53" x14ac:dyDescent="0.35">
      <c r="A82" s="120"/>
      <c r="B82" s="227"/>
      <c r="C82" s="228"/>
      <c r="D82" s="240"/>
      <c r="E82" s="241"/>
      <c r="F82" s="242"/>
      <c r="G82" s="102" t="s">
        <v>181</v>
      </c>
      <c r="H82" s="102" t="s">
        <v>181</v>
      </c>
      <c r="I82" s="102" t="s">
        <v>181</v>
      </c>
      <c r="J82" s="102" t="s">
        <v>181</v>
      </c>
      <c r="K82" s="102" t="s">
        <v>181</v>
      </c>
      <c r="L82" s="102" t="s">
        <v>181</v>
      </c>
      <c r="M82" s="102" t="s">
        <v>181</v>
      </c>
      <c r="N82" s="102" t="s">
        <v>181</v>
      </c>
      <c r="O82" s="102" t="s">
        <v>181</v>
      </c>
      <c r="P82" s="102" t="s">
        <v>181</v>
      </c>
      <c r="Q82" s="102" t="s">
        <v>181</v>
      </c>
      <c r="R82" s="102" t="s">
        <v>181</v>
      </c>
      <c r="S82" s="102" t="s">
        <v>181</v>
      </c>
      <c r="T82" s="102" t="s">
        <v>181</v>
      </c>
      <c r="U82" s="102" t="s">
        <v>181</v>
      </c>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row>
    <row r="83" spans="1:53" ht="21" customHeight="1" x14ac:dyDescent="0.35">
      <c r="A83" s="120"/>
      <c r="B83" s="220" t="s">
        <v>120</v>
      </c>
      <c r="C83" s="221"/>
      <c r="D83" s="221"/>
      <c r="E83" s="221"/>
      <c r="F83" s="221"/>
      <c r="G83" s="221"/>
      <c r="H83" s="221"/>
      <c r="I83" s="221"/>
      <c r="J83" s="221"/>
      <c r="K83" s="221"/>
      <c r="L83" s="221"/>
      <c r="M83" s="221"/>
      <c r="N83" s="221"/>
      <c r="O83" s="221"/>
      <c r="P83" s="221"/>
      <c r="Q83" s="221"/>
      <c r="R83" s="221"/>
      <c r="S83" s="221"/>
      <c r="T83" s="221"/>
      <c r="U83" s="222"/>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row>
    <row r="84" spans="1:53" ht="15" customHeight="1" x14ac:dyDescent="0.35">
      <c r="A84" s="120"/>
      <c r="B84" s="80">
        <v>1</v>
      </c>
      <c r="C84" s="218" t="s">
        <v>233</v>
      </c>
      <c r="D84" s="218"/>
      <c r="E84" s="218"/>
      <c r="F84" s="218"/>
      <c r="G84" s="218"/>
      <c r="H84" s="218"/>
      <c r="I84" s="218"/>
      <c r="J84" s="218"/>
      <c r="K84" s="218"/>
      <c r="L84" s="218"/>
      <c r="M84" s="218"/>
      <c r="N84" s="218"/>
      <c r="O84" s="218"/>
      <c r="P84" s="218"/>
      <c r="Q84" s="218"/>
      <c r="R84" s="218"/>
      <c r="S84" s="218"/>
      <c r="T84" s="218"/>
      <c r="U84" s="218"/>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BA84" s="107" t="str">
        <f>C84</f>
        <v>SDE+ Eindadvies 2019</v>
      </c>
    </row>
    <row r="85" spans="1:53" ht="15" customHeight="1" x14ac:dyDescent="0.35">
      <c r="A85" s="120"/>
      <c r="B85" s="80">
        <v>2</v>
      </c>
      <c r="C85" s="218" t="s">
        <v>234</v>
      </c>
      <c r="D85" s="218"/>
      <c r="E85" s="218"/>
      <c r="F85" s="218"/>
      <c r="G85" s="218"/>
      <c r="H85" s="218"/>
      <c r="I85" s="218"/>
      <c r="J85" s="218"/>
      <c r="K85" s="218"/>
      <c r="L85" s="218"/>
      <c r="M85" s="218"/>
      <c r="N85" s="218"/>
      <c r="O85" s="218"/>
      <c r="P85" s="218"/>
      <c r="Q85" s="218"/>
      <c r="R85" s="218"/>
      <c r="S85" s="218"/>
      <c r="T85" s="218"/>
      <c r="U85" s="218"/>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BA85" s="107" t="str">
        <f t="shared" ref="BA85:BA94" si="0">C85</f>
        <v>DNV GL, 2017. Biomassapotentieel in Nederland. Verkennende studie naar vrij beschikbaar biomassapotentieel voor energieopwekking in Nederland. Paula Schulze, Johan Holstein, Harm Vlap. GCS.17.R.10032629.2</v>
      </c>
    </row>
    <row r="86" spans="1:53" ht="15" customHeight="1" x14ac:dyDescent="0.35">
      <c r="A86" s="120"/>
      <c r="B86" s="80">
        <v>3</v>
      </c>
      <c r="C86" s="218" t="s">
        <v>235</v>
      </c>
      <c r="D86" s="218"/>
      <c r="E86" s="218"/>
      <c r="F86" s="218"/>
      <c r="G86" s="218"/>
      <c r="H86" s="218"/>
      <c r="I86" s="218"/>
      <c r="J86" s="218"/>
      <c r="K86" s="218"/>
      <c r="L86" s="218"/>
      <c r="M86" s="218"/>
      <c r="N86" s="218"/>
      <c r="O86" s="218"/>
      <c r="P86" s="218"/>
      <c r="Q86" s="218"/>
      <c r="R86" s="218"/>
      <c r="S86" s="218"/>
      <c r="T86" s="218"/>
      <c r="U86" s="218"/>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BA86" s="107" t="str">
        <f t="shared" si="0"/>
        <v>ETRI study, 2018. Cost development of low carbon energy technologies. Scenario-based cost trajectories to 2050, 2017 edition.</v>
      </c>
    </row>
    <row r="87" spans="1:53" ht="15" customHeight="1" x14ac:dyDescent="0.35">
      <c r="A87" s="120"/>
      <c r="B87" s="80">
        <v>4</v>
      </c>
      <c r="C87" s="218" t="s">
        <v>236</v>
      </c>
      <c r="D87" s="218"/>
      <c r="E87" s="218"/>
      <c r="F87" s="218"/>
      <c r="G87" s="218"/>
      <c r="H87" s="218"/>
      <c r="I87" s="218"/>
      <c r="J87" s="218"/>
      <c r="K87" s="218"/>
      <c r="L87" s="218"/>
      <c r="M87" s="218"/>
      <c r="N87" s="218"/>
      <c r="O87" s="218"/>
      <c r="P87" s="218"/>
      <c r="Q87" s="218"/>
      <c r="R87" s="218"/>
      <c r="S87" s="218"/>
      <c r="T87" s="218"/>
      <c r="U87" s="218"/>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BA87" s="107" t="str">
        <f t="shared" si="0"/>
        <v>Elbersen et al., 2015. Biomass potential in the Netherlands (as part of the Biomass Policies project, co-funded by the EC). </v>
      </c>
    </row>
    <row r="88" spans="1:53" ht="15" customHeight="1" x14ac:dyDescent="0.35">
      <c r="A88" s="120"/>
      <c r="B88" s="80">
        <v>5</v>
      </c>
      <c r="C88" s="218" t="s">
        <v>237</v>
      </c>
      <c r="D88" s="218"/>
      <c r="E88" s="218"/>
      <c r="F88" s="218"/>
      <c r="G88" s="218"/>
      <c r="H88" s="218"/>
      <c r="I88" s="218"/>
      <c r="J88" s="218"/>
      <c r="K88" s="218"/>
      <c r="L88" s="218"/>
      <c r="M88" s="218"/>
      <c r="N88" s="218"/>
      <c r="O88" s="218"/>
      <c r="P88" s="218"/>
      <c r="Q88" s="218"/>
      <c r="R88" s="218"/>
      <c r="S88" s="218"/>
      <c r="T88" s="218"/>
      <c r="U88" s="218"/>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BA88" s="107" t="str">
        <f t="shared" si="0"/>
        <v>Routekaart Hernieuwbaar Gas, 2014. See https://groengas.nl/wp-content/uploads/2015/07/Routekaart-hernieuwbaar-gas.pdf</v>
      </c>
    </row>
    <row r="89" spans="1:53" ht="15" customHeight="1" x14ac:dyDescent="0.35">
      <c r="A89" s="120"/>
      <c r="B89" s="80">
        <v>6</v>
      </c>
      <c r="C89" s="218" t="s">
        <v>238</v>
      </c>
      <c r="D89" s="218"/>
      <c r="E89" s="218"/>
      <c r="F89" s="218"/>
      <c r="G89" s="218"/>
      <c r="H89" s="218"/>
      <c r="I89" s="218"/>
      <c r="J89" s="218"/>
      <c r="K89" s="218"/>
      <c r="L89" s="218"/>
      <c r="M89" s="218"/>
      <c r="N89" s="218"/>
      <c r="O89" s="218"/>
      <c r="P89" s="218"/>
      <c r="Q89" s="218"/>
      <c r="R89" s="218"/>
      <c r="S89" s="218"/>
      <c r="T89" s="218"/>
      <c r="U89" s="218"/>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BA89" s="107" t="str">
        <f t="shared" si="0"/>
        <v>Decision related to change of Activiteitenbesluit milieubeheer. See https://zoek.officielebekendmakingen.nl/stb-2017-330.html</v>
      </c>
    </row>
    <row r="90" spans="1:53" x14ac:dyDescent="0.35">
      <c r="A90" s="120"/>
      <c r="B90" s="80">
        <v>7</v>
      </c>
      <c r="C90" s="218"/>
      <c r="D90" s="218"/>
      <c r="E90" s="218"/>
      <c r="F90" s="218"/>
      <c r="G90" s="218"/>
      <c r="H90" s="218"/>
      <c r="I90" s="218"/>
      <c r="J90" s="218"/>
      <c r="K90" s="218"/>
      <c r="L90" s="218"/>
      <c r="M90" s="218"/>
      <c r="N90" s="218"/>
      <c r="O90" s="218"/>
      <c r="P90" s="218"/>
      <c r="Q90" s="218"/>
      <c r="R90" s="218"/>
      <c r="S90" s="218"/>
      <c r="T90" s="218"/>
      <c r="U90" s="218"/>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BA90" s="107">
        <f t="shared" si="0"/>
        <v>0</v>
      </c>
    </row>
    <row r="91" spans="1:53" x14ac:dyDescent="0.35">
      <c r="A91" s="120"/>
      <c r="B91" s="80">
        <v>8</v>
      </c>
      <c r="C91" s="218"/>
      <c r="D91" s="218"/>
      <c r="E91" s="218"/>
      <c r="F91" s="218"/>
      <c r="G91" s="218"/>
      <c r="H91" s="218"/>
      <c r="I91" s="218"/>
      <c r="J91" s="218"/>
      <c r="K91" s="218"/>
      <c r="L91" s="218"/>
      <c r="M91" s="218"/>
      <c r="N91" s="218"/>
      <c r="O91" s="218"/>
      <c r="P91" s="218"/>
      <c r="Q91" s="218"/>
      <c r="R91" s="218"/>
      <c r="S91" s="218"/>
      <c r="T91" s="218"/>
      <c r="U91" s="218"/>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BA91" s="107">
        <f t="shared" si="0"/>
        <v>0</v>
      </c>
    </row>
    <row r="92" spans="1:53" x14ac:dyDescent="0.35">
      <c r="A92" s="120"/>
      <c r="B92" s="80">
        <v>9</v>
      </c>
      <c r="C92" s="218"/>
      <c r="D92" s="218"/>
      <c r="E92" s="218"/>
      <c r="F92" s="218"/>
      <c r="G92" s="218"/>
      <c r="H92" s="218"/>
      <c r="I92" s="218"/>
      <c r="J92" s="218"/>
      <c r="K92" s="218"/>
      <c r="L92" s="218"/>
      <c r="M92" s="218"/>
      <c r="N92" s="218"/>
      <c r="O92" s="218"/>
      <c r="P92" s="218"/>
      <c r="Q92" s="218"/>
      <c r="R92" s="218"/>
      <c r="S92" s="218"/>
      <c r="T92" s="218"/>
      <c r="U92" s="218"/>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BA92" s="107">
        <f t="shared" si="0"/>
        <v>0</v>
      </c>
    </row>
    <row r="93" spans="1:53" x14ac:dyDescent="0.35">
      <c r="A93" s="120"/>
      <c r="B93" s="80">
        <v>10</v>
      </c>
      <c r="C93" s="218"/>
      <c r="D93" s="218"/>
      <c r="E93" s="218"/>
      <c r="F93" s="218"/>
      <c r="G93" s="218"/>
      <c r="H93" s="218"/>
      <c r="I93" s="218"/>
      <c r="J93" s="218"/>
      <c r="K93" s="218"/>
      <c r="L93" s="218"/>
      <c r="M93" s="218"/>
      <c r="N93" s="218"/>
      <c r="O93" s="218"/>
      <c r="P93" s="218"/>
      <c r="Q93" s="218"/>
      <c r="R93" s="218"/>
      <c r="S93" s="218"/>
      <c r="T93" s="218"/>
      <c r="U93" s="218"/>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BA93" s="107">
        <f t="shared" si="0"/>
        <v>0</v>
      </c>
    </row>
    <row r="94" spans="1:53" x14ac:dyDescent="0.35">
      <c r="A94" s="120"/>
      <c r="B94" s="219" t="s">
        <v>239</v>
      </c>
      <c r="C94" s="218" t="s">
        <v>240</v>
      </c>
      <c r="D94" s="218"/>
      <c r="E94" s="218"/>
      <c r="F94" s="218"/>
      <c r="G94" s="218"/>
      <c r="H94" s="218"/>
      <c r="I94" s="218"/>
      <c r="J94" s="218"/>
      <c r="K94" s="218"/>
      <c r="L94" s="218"/>
      <c r="M94" s="218"/>
      <c r="N94" s="218"/>
      <c r="O94" s="218"/>
      <c r="P94" s="218"/>
      <c r="Q94" s="218"/>
      <c r="R94" s="218"/>
      <c r="S94" s="218"/>
      <c r="T94" s="218"/>
      <c r="U94" s="218"/>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BA94" s="107" t="str">
        <f t="shared" si="0"/>
        <v>Add other sources here</v>
      </c>
    </row>
    <row r="95" spans="1:53" x14ac:dyDescent="0.35">
      <c r="A95" s="120"/>
      <c r="B95" s="219"/>
      <c r="C95" s="218"/>
      <c r="D95" s="218"/>
      <c r="E95" s="218"/>
      <c r="F95" s="218"/>
      <c r="G95" s="218"/>
      <c r="H95" s="218"/>
      <c r="I95" s="218"/>
      <c r="J95" s="218"/>
      <c r="K95" s="218"/>
      <c r="L95" s="218"/>
      <c r="M95" s="218"/>
      <c r="N95" s="218"/>
      <c r="O95" s="218"/>
      <c r="P95" s="218"/>
      <c r="Q95" s="218"/>
      <c r="R95" s="218"/>
      <c r="S95" s="218"/>
      <c r="T95" s="218"/>
      <c r="U95" s="218"/>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row>
    <row r="96" spans="1:53" x14ac:dyDescent="0.35">
      <c r="A96" s="120"/>
      <c r="B96" s="219"/>
      <c r="C96" s="218"/>
      <c r="D96" s="218"/>
      <c r="E96" s="218"/>
      <c r="F96" s="218"/>
      <c r="G96" s="218"/>
      <c r="H96" s="218"/>
      <c r="I96" s="218"/>
      <c r="J96" s="218"/>
      <c r="K96" s="218"/>
      <c r="L96" s="218"/>
      <c r="M96" s="218"/>
      <c r="N96" s="218"/>
      <c r="O96" s="218"/>
      <c r="P96" s="218"/>
      <c r="Q96" s="218"/>
      <c r="R96" s="218"/>
      <c r="S96" s="218"/>
      <c r="T96" s="218"/>
      <c r="U96" s="218"/>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row>
  </sheetData>
  <mergeCells count="138">
    <mergeCell ref="B4:K4"/>
    <mergeCell ref="B5:C5"/>
    <mergeCell ref="D5:K5"/>
    <mergeCell ref="B6:C6"/>
    <mergeCell ref="D6:K6"/>
    <mergeCell ref="B7:C8"/>
    <mergeCell ref="D7:K7"/>
    <mergeCell ref="D8:K8"/>
    <mergeCell ref="B12:C13"/>
    <mergeCell ref="D12:K12"/>
    <mergeCell ref="D13:K13"/>
    <mergeCell ref="B14:K14"/>
    <mergeCell ref="B15:C16"/>
    <mergeCell ref="D15:K16"/>
    <mergeCell ref="B9:C9"/>
    <mergeCell ref="D9:K9"/>
    <mergeCell ref="B10:C10"/>
    <mergeCell ref="D10:K10"/>
    <mergeCell ref="B11:C11"/>
    <mergeCell ref="D11:K11"/>
    <mergeCell ref="Q20:U20"/>
    <mergeCell ref="B21:C23"/>
    <mergeCell ref="D21:E23"/>
    <mergeCell ref="F21:F23"/>
    <mergeCell ref="B17:C17"/>
    <mergeCell ref="D17:F17"/>
    <mergeCell ref="B18:C19"/>
    <mergeCell ref="D18:F19"/>
    <mergeCell ref="B20:C20"/>
    <mergeCell ref="D20:E20"/>
    <mergeCell ref="B24:C25"/>
    <mergeCell ref="D24:E25"/>
    <mergeCell ref="F24:F25"/>
    <mergeCell ref="B26:C26"/>
    <mergeCell ref="D26:K26"/>
    <mergeCell ref="B27:C27"/>
    <mergeCell ref="D27:K27"/>
    <mergeCell ref="G20:K20"/>
    <mergeCell ref="L20:P20"/>
    <mergeCell ref="B31:C31"/>
    <mergeCell ref="D31:K31"/>
    <mergeCell ref="B32:C32"/>
    <mergeCell ref="D32:K32"/>
    <mergeCell ref="B33:C33"/>
    <mergeCell ref="D33:K33"/>
    <mergeCell ref="B28:C28"/>
    <mergeCell ref="D28:K28"/>
    <mergeCell ref="B29:C29"/>
    <mergeCell ref="D29:K29"/>
    <mergeCell ref="B30:C30"/>
    <mergeCell ref="D30:K30"/>
    <mergeCell ref="B39:C40"/>
    <mergeCell ref="D39:D40"/>
    <mergeCell ref="E39:F40"/>
    <mergeCell ref="B41:C42"/>
    <mergeCell ref="D41:D42"/>
    <mergeCell ref="E41:F42"/>
    <mergeCell ref="B34:U34"/>
    <mergeCell ref="B35:F36"/>
    <mergeCell ref="G35:K35"/>
    <mergeCell ref="L35:P35"/>
    <mergeCell ref="Q35:U35"/>
    <mergeCell ref="B37:C38"/>
    <mergeCell ref="D37:D38"/>
    <mergeCell ref="E37:F38"/>
    <mergeCell ref="B47:C48"/>
    <mergeCell ref="D47:E48"/>
    <mergeCell ref="F47:F48"/>
    <mergeCell ref="G47:K47"/>
    <mergeCell ref="L47:P47"/>
    <mergeCell ref="Q47:U47"/>
    <mergeCell ref="B43:C44"/>
    <mergeCell ref="D43:D44"/>
    <mergeCell ref="E43:F44"/>
    <mergeCell ref="B45:C45"/>
    <mergeCell ref="D45:U45"/>
    <mergeCell ref="B46:U46"/>
    <mergeCell ref="B49:C56"/>
    <mergeCell ref="D49:E50"/>
    <mergeCell ref="F49:F50"/>
    <mergeCell ref="D51:E52"/>
    <mergeCell ref="F51:F52"/>
    <mergeCell ref="D53:E54"/>
    <mergeCell ref="F53:F54"/>
    <mergeCell ref="D55:E56"/>
    <mergeCell ref="F55:F56"/>
    <mergeCell ref="F61:F62"/>
    <mergeCell ref="D63:E64"/>
    <mergeCell ref="F63:F64"/>
    <mergeCell ref="B65:C65"/>
    <mergeCell ref="D65:U65"/>
    <mergeCell ref="B66:U66"/>
    <mergeCell ref="B57:C57"/>
    <mergeCell ref="D57:U57"/>
    <mergeCell ref="B58:U58"/>
    <mergeCell ref="B59:C64"/>
    <mergeCell ref="D59:E60"/>
    <mergeCell ref="F59:F60"/>
    <mergeCell ref="G59:K59"/>
    <mergeCell ref="L59:P59"/>
    <mergeCell ref="Q59:U59"/>
    <mergeCell ref="D61:E62"/>
    <mergeCell ref="B78:U78"/>
    <mergeCell ref="B79:C82"/>
    <mergeCell ref="D79:F80"/>
    <mergeCell ref="G79:K79"/>
    <mergeCell ref="L79:P79"/>
    <mergeCell ref="Q79:U79"/>
    <mergeCell ref="D81:F82"/>
    <mergeCell ref="D73:E74"/>
    <mergeCell ref="F73:F74"/>
    <mergeCell ref="D75:E76"/>
    <mergeCell ref="F75:F76"/>
    <mergeCell ref="B77:C77"/>
    <mergeCell ref="D77:U77"/>
    <mergeCell ref="B67:C76"/>
    <mergeCell ref="D67:E68"/>
    <mergeCell ref="F67:F68"/>
    <mergeCell ref="G67:K67"/>
    <mergeCell ref="L67:P67"/>
    <mergeCell ref="Q67:U67"/>
    <mergeCell ref="D69:E70"/>
    <mergeCell ref="F69:F70"/>
    <mergeCell ref="D71:E72"/>
    <mergeCell ref="F71:F72"/>
    <mergeCell ref="C89:U89"/>
    <mergeCell ref="C90:U90"/>
    <mergeCell ref="C91:U91"/>
    <mergeCell ref="C92:U92"/>
    <mergeCell ref="C93:U93"/>
    <mergeCell ref="B94:B96"/>
    <mergeCell ref="C94:U96"/>
    <mergeCell ref="B83:U83"/>
    <mergeCell ref="C84:U84"/>
    <mergeCell ref="C85:U85"/>
    <mergeCell ref="C86:U86"/>
    <mergeCell ref="C87:U87"/>
    <mergeCell ref="C88:U88"/>
  </mergeCells>
  <conditionalFormatting sqref="D7">
    <cfRule type="containsText" dxfId="248" priority="95" operator="containsText" text="Please select">
      <formula>NOT(ISERROR(SEARCH("Please select",D7)))</formula>
    </cfRule>
  </conditionalFormatting>
  <conditionalFormatting sqref="D8 L8:O8">
    <cfRule type="containsText" dxfId="247" priority="94" operator="containsText" text="Other (specify here)">
      <formula>NOT(ISERROR(SEARCH("Other (specify here)",D8)))</formula>
    </cfRule>
  </conditionalFormatting>
  <conditionalFormatting sqref="D9">
    <cfRule type="containsText" dxfId="246" priority="93" operator="containsText" text="Please select">
      <formula>NOT(ISERROR(SEARCH("Please select",D9)))</formula>
    </cfRule>
  </conditionalFormatting>
  <conditionalFormatting sqref="L10:O10">
    <cfRule type="containsText" dxfId="245" priority="92" operator="containsText" text="Specify here">
      <formula>NOT(ISERROR(SEARCH("Specify here",L10)))</formula>
    </cfRule>
  </conditionalFormatting>
  <conditionalFormatting sqref="D11 L11:O11">
    <cfRule type="containsText" dxfId="244" priority="91" operator="containsText" text="Specify here">
      <formula>NOT(ISERROR(SEARCH("Specify here",D11)))</formula>
    </cfRule>
  </conditionalFormatting>
  <conditionalFormatting sqref="D6 L6:O6">
    <cfRule type="containsText" dxfId="243" priority="90" operator="containsText" text="DD-MM-YYYY">
      <formula>NOT(ISERROR(SEARCH("DD-MM-YYYY",D6)))</formula>
    </cfRule>
  </conditionalFormatting>
  <conditionalFormatting sqref="D12 L12:O12">
    <cfRule type="containsText" dxfId="242" priority="87" operator="containsText" text="Select the observed or expected TRL level in 2020">
      <formula>NOT(ISERROR(SEARCH("Select the observed or expected TRL level in 2020",D12)))</formula>
    </cfRule>
    <cfRule type="containsText" dxfId="241" priority="89" operator="containsText" text="Specify here the observed or expected TRL level in 2020">
      <formula>NOT(ISERROR(SEARCH("Specify here the observed or expected TRL level in 2020",D12)))</formula>
    </cfRule>
  </conditionalFormatting>
  <conditionalFormatting sqref="D13 L13:O13">
    <cfRule type="containsText" dxfId="240" priority="88" operator="containsText" text="Explain here">
      <formula>NOT(ISERROR(SEARCH("Explain here",D13)))</formula>
    </cfRule>
  </conditionalFormatting>
  <conditionalFormatting sqref="D32 D30">
    <cfRule type="containsText" dxfId="239" priority="86" operator="containsText" text="Please select">
      <formula>NOT(ISERROR(SEARCH("Please select",D30)))</formula>
    </cfRule>
  </conditionalFormatting>
  <conditionalFormatting sqref="D30 L30:O30">
    <cfRule type="containsText" dxfId="238" priority="85" operator="containsText" text="Specify here">
      <formula>NOT(ISERROR(SEARCH("Specify here",D30)))</formula>
    </cfRule>
  </conditionalFormatting>
  <conditionalFormatting sqref="L27:O28">
    <cfRule type="containsText" dxfId="237" priority="84" operator="containsText" text="Specify here">
      <formula>NOT(ISERROR(SEARCH("Specify here",L27)))</formula>
    </cfRule>
  </conditionalFormatting>
  <conditionalFormatting sqref="L26:O28">
    <cfRule type="containsText" dxfId="236" priority="83" operator="containsText" text="Specify here">
      <formula>NOT(ISERROR(SEARCH("Specify here",L26)))</formula>
    </cfRule>
  </conditionalFormatting>
  <conditionalFormatting sqref="L31:O31">
    <cfRule type="containsText" dxfId="235" priority="82" operator="containsText" text="Specify here">
      <formula>NOT(ISERROR(SEARCH("Specify here",L31)))</formula>
    </cfRule>
  </conditionalFormatting>
  <conditionalFormatting sqref="L33:O33">
    <cfRule type="containsText" dxfId="234" priority="81" operator="containsText" text="Explain here (e.g. other technical dimensions, region covered for potential such as NL or EU)">
      <formula>NOT(ISERROR(SEARCH("Explain here (e.g. other technical dimensions, region covered for potential such as NL or EU)",L33)))</formula>
    </cfRule>
  </conditionalFormatting>
  <conditionalFormatting sqref="L5:O5">
    <cfRule type="containsText" dxfId="233" priority="80" operator="containsText" text="Specify technology option name here">
      <formula>NOT(ISERROR(SEARCH("Specify technology option name here",L5)))</formula>
    </cfRule>
  </conditionalFormatting>
  <conditionalFormatting sqref="D18">
    <cfRule type="containsText" dxfId="232" priority="79" operator="containsText" text="Select Functional Unit above">
      <formula>NOT(ISERROR(SEARCH("Select Functional Unit above",D18)))</formula>
    </cfRule>
  </conditionalFormatting>
  <conditionalFormatting sqref="D49">
    <cfRule type="containsText" dxfId="231" priority="78" operator="containsText" text="Select">
      <formula>NOT(ISERROR(SEARCH("Select",D49)))</formula>
    </cfRule>
  </conditionalFormatting>
  <conditionalFormatting sqref="D71">
    <cfRule type="containsText" dxfId="230" priority="70" operator="containsText" text="Select">
      <formula>NOT(ISERROR(SEARCH("Select",D71)))</formula>
    </cfRule>
  </conditionalFormatting>
  <conditionalFormatting sqref="D73">
    <cfRule type="containsText" dxfId="229" priority="69" operator="containsText" text="Select">
      <formula>NOT(ISERROR(SEARCH("Select",D73)))</formula>
    </cfRule>
  </conditionalFormatting>
  <conditionalFormatting sqref="D51">
    <cfRule type="containsText" dxfId="228" priority="77" operator="containsText" text="Select">
      <formula>NOT(ISERROR(SEARCH("Select",D51)))</formula>
    </cfRule>
  </conditionalFormatting>
  <conditionalFormatting sqref="D75">
    <cfRule type="containsText" dxfId="227" priority="68" operator="containsText" text="Select">
      <formula>NOT(ISERROR(SEARCH("Select",D75)))</formula>
    </cfRule>
  </conditionalFormatting>
  <conditionalFormatting sqref="D53">
    <cfRule type="containsText" dxfId="226" priority="76" operator="containsText" text="Select">
      <formula>NOT(ISERROR(SEARCH("Select",D53)))</formula>
    </cfRule>
  </conditionalFormatting>
  <conditionalFormatting sqref="D55">
    <cfRule type="containsText" dxfId="225" priority="75" operator="containsText" text="Select">
      <formula>NOT(ISERROR(SEARCH("Select",D55)))</formula>
    </cfRule>
  </conditionalFormatting>
  <conditionalFormatting sqref="F49:F56">
    <cfRule type="containsText" dxfId="224" priority="74" operator="containsText" text="Please select">
      <formula>NOT(ISERROR(SEARCH("Please select",F49)))</formula>
    </cfRule>
  </conditionalFormatting>
  <conditionalFormatting sqref="D57">
    <cfRule type="containsText" dxfId="223" priority="73" operator="containsText" text="Explain here (e.g. flexible in and out)">
      <formula>NOT(ISERROR(SEARCH("Explain here (e.g. flexible in and out)",D57)))</formula>
    </cfRule>
  </conditionalFormatting>
  <conditionalFormatting sqref="D61">
    <cfRule type="containsText" dxfId="222" priority="72" operator="containsText" text="Select">
      <formula>NOT(ISERROR(SEARCH("Select",D61)))</formula>
    </cfRule>
  </conditionalFormatting>
  <conditionalFormatting sqref="D69">
    <cfRule type="containsText" dxfId="221" priority="71" operator="containsText" text="Select">
      <formula>NOT(ISERROR(SEARCH("Select",D69)))</formula>
    </cfRule>
  </conditionalFormatting>
  <conditionalFormatting sqref="F69:F76">
    <cfRule type="containsText" dxfId="220" priority="67" operator="containsText" text="Please select">
      <formula>NOT(ISERROR(SEARCH("Please select",F69)))</formula>
    </cfRule>
  </conditionalFormatting>
  <conditionalFormatting sqref="D77">
    <cfRule type="containsText" dxfId="219" priority="66" operator="containsText" text="Explain here">
      <formula>NOT(ISERROR(SEARCH("Explain here",D77)))</formula>
    </cfRule>
  </conditionalFormatting>
  <conditionalFormatting sqref="D81">
    <cfRule type="containsText" dxfId="218" priority="65" operator="containsText" text="Specify here">
      <formula>NOT(ISERROR(SEARCH("Specify here",D81)))</formula>
    </cfRule>
  </conditionalFormatting>
  <conditionalFormatting sqref="B84 B89 B86:B87 B91 B93">
    <cfRule type="containsText" dxfId="217" priority="64" operator="containsText" text="Specify data sources and references here">
      <formula>NOT(ISERROR(SEARCH("Specify data sources and references here",B84)))</formula>
    </cfRule>
  </conditionalFormatting>
  <conditionalFormatting sqref="D27">
    <cfRule type="containsText" dxfId="216" priority="63" operator="containsText" text="Please select">
      <formula>NOT(ISERROR(SEARCH("Please select",D27)))</formula>
    </cfRule>
  </conditionalFormatting>
  <conditionalFormatting sqref="D27">
    <cfRule type="containsText" dxfId="215" priority="62" operator="containsText" text="Specify here">
      <formula>NOT(ISERROR(SEARCH("Specify here",D27)))</formula>
    </cfRule>
  </conditionalFormatting>
  <conditionalFormatting sqref="D26:D27">
    <cfRule type="containsText" dxfId="214" priority="61" operator="containsText" text="Specify here (if not specified, value will be 1)">
      <formula>NOT(ISERROR(SEARCH("Specify here (if not specified, value will be 1)",D26)))</formula>
    </cfRule>
  </conditionalFormatting>
  <conditionalFormatting sqref="D31">
    <cfRule type="containsText" dxfId="213" priority="60" operator="containsText" text="Please select">
      <formula>NOT(ISERROR(SEARCH("Please select",D31)))</formula>
    </cfRule>
  </conditionalFormatting>
  <conditionalFormatting sqref="D31">
    <cfRule type="containsText" dxfId="212" priority="59" operator="containsText" text="Specify here">
      <formula>NOT(ISERROR(SEARCH("Specify here",D31)))</formula>
    </cfRule>
  </conditionalFormatting>
  <conditionalFormatting sqref="G40:K40 G42:K42 G44:K44 G38:K38">
    <cfRule type="containsText" dxfId="211" priority="58" operator="containsText" text="Reference">
      <formula>NOT(ISERROR(SEARCH("Reference",G38)))</formula>
    </cfRule>
  </conditionalFormatting>
  <conditionalFormatting sqref="L40:P40 L42:P42 L44:P44 L38:P38">
    <cfRule type="containsText" dxfId="210" priority="57" operator="containsText" text="Reference">
      <formula>NOT(ISERROR(SEARCH("Reference",L38)))</formula>
    </cfRule>
  </conditionalFormatting>
  <conditionalFormatting sqref="Q40:U40 Q42:U42 Q44:U44 Q38:U38">
    <cfRule type="containsText" dxfId="209" priority="56" operator="containsText" text="Reference">
      <formula>NOT(ISERROR(SEARCH("Reference",Q38)))</formula>
    </cfRule>
  </conditionalFormatting>
  <conditionalFormatting sqref="E37">
    <cfRule type="containsText" dxfId="208" priority="55" operator="containsText" text="Please select 'Functional Unit' above">
      <formula>NOT(ISERROR(SEARCH("Please select 'Functional Unit' above",E37)))</formula>
    </cfRule>
  </conditionalFormatting>
  <conditionalFormatting sqref="H52:K52 H54:K54 H56:K56 H50:K50">
    <cfRule type="containsText" dxfId="207" priority="54" operator="containsText" text="Reference">
      <formula>NOT(ISERROR(SEARCH("Reference",H50)))</formula>
    </cfRule>
  </conditionalFormatting>
  <conditionalFormatting sqref="M52:P52 M54:P54 M56:P56 M50:P50">
    <cfRule type="containsText" dxfId="206" priority="53" operator="containsText" text="Reference">
      <formula>NOT(ISERROR(SEARCH("Reference",M50)))</formula>
    </cfRule>
  </conditionalFormatting>
  <conditionalFormatting sqref="R52:U52 R54:U54 R56:U56 R50:U50">
    <cfRule type="containsText" dxfId="205" priority="52" operator="containsText" text="Reference">
      <formula>NOT(ISERROR(SEARCH("Reference",R50)))</formula>
    </cfRule>
  </conditionalFormatting>
  <conditionalFormatting sqref="H72:K72 H74:K74 H76:K76 H70:K70">
    <cfRule type="containsText" dxfId="204" priority="51" operator="containsText" text="Reference">
      <formula>NOT(ISERROR(SEARCH("Reference",H70)))</formula>
    </cfRule>
  </conditionalFormatting>
  <conditionalFormatting sqref="M72:P72 M74:P74 M76:P76 M70:P70">
    <cfRule type="containsText" dxfId="203" priority="50" operator="containsText" text="Reference">
      <formula>NOT(ISERROR(SEARCH("Reference",M70)))</formula>
    </cfRule>
  </conditionalFormatting>
  <conditionalFormatting sqref="R72:U72 R74:U74 R76:U76 R70:U70">
    <cfRule type="containsText" dxfId="202" priority="49" operator="containsText" text="Reference">
      <formula>NOT(ISERROR(SEARCH("Reference",R70)))</formula>
    </cfRule>
  </conditionalFormatting>
  <conditionalFormatting sqref="G64:K64 H62:K62">
    <cfRule type="containsText" dxfId="201" priority="48" operator="containsText" text="Reference">
      <formula>NOT(ISERROR(SEARCH("Reference",G62)))</formula>
    </cfRule>
  </conditionalFormatting>
  <conditionalFormatting sqref="L64:P64 M62:P62">
    <cfRule type="containsText" dxfId="200" priority="47" operator="containsText" text="Reference">
      <formula>NOT(ISERROR(SEARCH("Reference",L62)))</formula>
    </cfRule>
  </conditionalFormatting>
  <conditionalFormatting sqref="Q64:U64 R62:U62">
    <cfRule type="containsText" dxfId="199" priority="46" operator="containsText" text="Reference">
      <formula>NOT(ISERROR(SEARCH("Reference",Q62)))</formula>
    </cfRule>
  </conditionalFormatting>
  <conditionalFormatting sqref="G82:K82">
    <cfRule type="containsText" dxfId="198" priority="45" operator="containsText" text="Reference">
      <formula>NOT(ISERROR(SEARCH("Reference",G82)))</formula>
    </cfRule>
  </conditionalFormatting>
  <conditionalFormatting sqref="L82:P82">
    <cfRule type="containsText" dxfId="197" priority="44" operator="containsText" text="Reference">
      <formula>NOT(ISERROR(SEARCH("Reference",L82)))</formula>
    </cfRule>
  </conditionalFormatting>
  <conditionalFormatting sqref="Q82:U82">
    <cfRule type="containsText" dxfId="196" priority="43" operator="containsText" text="Reference">
      <formula>NOT(ISERROR(SEARCH("Reference",Q82)))</formula>
    </cfRule>
  </conditionalFormatting>
  <conditionalFormatting sqref="D5">
    <cfRule type="containsText" dxfId="195" priority="42" operator="containsText" text="Please select">
      <formula>NOT(ISERROR(SEARCH("Please select",D5)))</formula>
    </cfRule>
  </conditionalFormatting>
  <conditionalFormatting sqref="D5">
    <cfRule type="containsText" dxfId="194" priority="41" operator="containsText" text="Specify here">
      <formula>NOT(ISERROR(SEARCH("Specify here",D5)))</formula>
    </cfRule>
  </conditionalFormatting>
  <conditionalFormatting sqref="D10">
    <cfRule type="containsText" dxfId="193" priority="40" operator="containsText" text="Please select">
      <formula>NOT(ISERROR(SEARCH("Please select",D10)))</formula>
    </cfRule>
  </conditionalFormatting>
  <conditionalFormatting sqref="D15">
    <cfRule type="containsText" dxfId="192" priority="38" operator="containsText" text="Please select">
      <formula>NOT(ISERROR(SEARCH("Please select",D15)))</formula>
    </cfRule>
    <cfRule type="containsText" dxfId="191" priority="39" operator="containsText" text="Please select 'Functional Unit' above">
      <formula>NOT(ISERROR(SEARCH("Please select 'Functional Unit' above",D15)))</formula>
    </cfRule>
  </conditionalFormatting>
  <conditionalFormatting sqref="D21">
    <cfRule type="containsText" dxfId="190" priority="37" operator="containsText" text="Select Functional Unit above">
      <formula>NOT(ISERROR(SEARCH("Select Functional Unit above",D21)))</formula>
    </cfRule>
  </conditionalFormatting>
  <conditionalFormatting sqref="D28">
    <cfRule type="containsText" dxfId="189" priority="36" operator="containsText" text="Please select">
      <formula>NOT(ISERROR(SEARCH("Please select",D28)))</formula>
    </cfRule>
  </conditionalFormatting>
  <conditionalFormatting sqref="E39 E41 E43">
    <cfRule type="containsText" dxfId="188" priority="35" operator="containsText" text="Please select 'Functional Unit' above">
      <formula>NOT(ISERROR(SEARCH("Please select 'Functional Unit' above",E39)))</formula>
    </cfRule>
  </conditionalFormatting>
  <conditionalFormatting sqref="G52 G54 G56 G50">
    <cfRule type="containsText" dxfId="187" priority="34" operator="containsText" text="Reference">
      <formula>NOT(ISERROR(SEARCH("Reference",G50)))</formula>
    </cfRule>
  </conditionalFormatting>
  <conditionalFormatting sqref="L52 L54 L56 L50">
    <cfRule type="containsText" dxfId="186" priority="33" operator="containsText" text="Reference">
      <formula>NOT(ISERROR(SEARCH("Reference",L50)))</formula>
    </cfRule>
  </conditionalFormatting>
  <conditionalFormatting sqref="Q52 Q54 Q56 Q50">
    <cfRule type="containsText" dxfId="185" priority="32" operator="containsText" text="Reference">
      <formula>NOT(ISERROR(SEARCH("Reference",Q50)))</formula>
    </cfRule>
  </conditionalFormatting>
  <conditionalFormatting sqref="D63">
    <cfRule type="containsText" dxfId="184" priority="31" operator="containsText" text="Select">
      <formula>NOT(ISERROR(SEARCH("Select",D63)))</formula>
    </cfRule>
  </conditionalFormatting>
  <conditionalFormatting sqref="D61:F64">
    <cfRule type="containsText" dxfId="183" priority="30" operator="containsText" text="Specify here">
      <formula>NOT(ISERROR(SEARCH("Specify here",D61)))</formula>
    </cfRule>
  </conditionalFormatting>
  <conditionalFormatting sqref="G62">
    <cfRule type="containsText" dxfId="182" priority="29" operator="containsText" text="Reference">
      <formula>NOT(ISERROR(SEARCH("Reference",G62)))</formula>
    </cfRule>
  </conditionalFormatting>
  <conditionalFormatting sqref="L62">
    <cfRule type="containsText" dxfId="181" priority="28" operator="containsText" text="Reference">
      <formula>NOT(ISERROR(SEARCH("Reference",L62)))</formula>
    </cfRule>
  </conditionalFormatting>
  <conditionalFormatting sqref="Q62">
    <cfRule type="containsText" dxfId="180" priority="27" operator="containsText" text="Reference">
      <formula>NOT(ISERROR(SEARCH("Reference",Q62)))</formula>
    </cfRule>
  </conditionalFormatting>
  <conditionalFormatting sqref="G72 G74 G76 G70">
    <cfRule type="containsText" dxfId="179" priority="26" operator="containsText" text="Reference">
      <formula>NOT(ISERROR(SEARCH("Reference",G70)))</formula>
    </cfRule>
  </conditionalFormatting>
  <conditionalFormatting sqref="L72 L74 L76 L70">
    <cfRule type="containsText" dxfId="178" priority="25" operator="containsText" text="Reference">
      <formula>NOT(ISERROR(SEARCH("Reference",L70)))</formula>
    </cfRule>
  </conditionalFormatting>
  <conditionalFormatting sqref="Q72 Q74 Q76 Q70">
    <cfRule type="containsText" dxfId="177" priority="24" operator="containsText" text="Reference">
      <formula>NOT(ISERROR(SEARCH("Reference",Q70)))</formula>
    </cfRule>
  </conditionalFormatting>
  <conditionalFormatting sqref="B85 B88 B90 B92">
    <cfRule type="containsText" dxfId="176" priority="23" operator="containsText" text="Specify data sources and references here">
      <formula>NOT(ISERROR(SEARCH("Specify data sources and references here",B85)))</formula>
    </cfRule>
  </conditionalFormatting>
  <conditionalFormatting sqref="C94:U96">
    <cfRule type="containsText" dxfId="175" priority="22" operator="containsText" text="Add other sources here">
      <formula>NOT(ISERROR(SEARCH("Add other sources here",C94)))</formula>
    </cfRule>
  </conditionalFormatting>
  <conditionalFormatting sqref="D24">
    <cfRule type="containsText" dxfId="174" priority="21" operator="containsText" text="Select Functional Unit above">
      <formula>NOT(ISERROR(SEARCH("Select Functional Unit above",D24)))</formula>
    </cfRule>
  </conditionalFormatting>
  <conditionalFormatting sqref="F21">
    <cfRule type="containsText" dxfId="173" priority="20" operator="containsText" text="Please select the region">
      <formula>NOT(ISERROR(SEARCH("Please select the region",F21)))</formula>
    </cfRule>
  </conditionalFormatting>
  <conditionalFormatting sqref="F24:F25">
    <cfRule type="containsText" dxfId="172" priority="19" operator="containsText" text="Specify here the market">
      <formula>NOT(ISERROR(SEARCH("Specify here the market",F24)))</formula>
    </cfRule>
  </conditionalFormatting>
  <conditionalFormatting sqref="G19:K19">
    <cfRule type="containsText" dxfId="171" priority="18" operator="containsText" text="Reference">
      <formula>NOT(ISERROR(SEARCH("Reference",G19)))</formula>
    </cfRule>
  </conditionalFormatting>
  <conditionalFormatting sqref="G25:K25">
    <cfRule type="containsText" dxfId="170" priority="17" operator="containsText" text="Reference">
      <formula>NOT(ISERROR(SEARCH("Reference",G25)))</formula>
    </cfRule>
  </conditionalFormatting>
  <conditionalFormatting sqref="G38:U38 G40:U40 G42:U42 G44:U44 G50:U50 G52:U52 G54:U54 G56:U56 G62:U62 G64:U64 G70:U70 G72:U72 G74:U74 G76:U76 G82:U82">
    <cfRule type="containsText" dxfId="169" priority="16" operator="containsText" text="Reference">
      <formula>NOT(ISERROR(SEARCH("Reference",G38)))</formula>
    </cfRule>
  </conditionalFormatting>
  <conditionalFormatting sqref="L25:P25">
    <cfRule type="containsText" dxfId="168" priority="15" operator="containsText" text="Reference">
      <formula>NOT(ISERROR(SEARCH("Reference",L25)))</formula>
    </cfRule>
  </conditionalFormatting>
  <conditionalFormatting sqref="Q25:U25 Q23:U23">
    <cfRule type="containsText" dxfId="167" priority="14" operator="containsText" text="Reference">
      <formula>NOT(ISERROR(SEARCH("Reference",Q23)))</formula>
    </cfRule>
  </conditionalFormatting>
  <conditionalFormatting sqref="Q23:U23 L25:U25">
    <cfRule type="containsText" dxfId="166" priority="13" operator="containsText" text="Reference">
      <formula>NOT(ISERROR(SEARCH("Reference",L23)))</formula>
    </cfRule>
  </conditionalFormatting>
  <conditionalFormatting sqref="D29">
    <cfRule type="containsText" dxfId="165" priority="12" operator="containsText" text="Please select">
      <formula>NOT(ISERROR(SEARCH("Please select",D29)))</formula>
    </cfRule>
  </conditionalFormatting>
  <conditionalFormatting sqref="D29">
    <cfRule type="containsText" dxfId="164" priority="11" operator="containsText" text="Specify here">
      <formula>NOT(ISERROR(SEARCH("Specify here",D29)))</formula>
    </cfRule>
  </conditionalFormatting>
  <conditionalFormatting sqref="I23:K23">
    <cfRule type="containsText" dxfId="163" priority="10" operator="containsText" text="Reference">
      <formula>NOT(ISERROR(SEARCH("Reference",I23)))</formula>
    </cfRule>
  </conditionalFormatting>
  <conditionalFormatting sqref="O23:P23">
    <cfRule type="containsText" dxfId="162" priority="9" operator="containsText" text="Reference">
      <formula>NOT(ISERROR(SEARCH("Reference",O23)))</formula>
    </cfRule>
  </conditionalFormatting>
  <conditionalFormatting sqref="O23:P23">
    <cfRule type="containsText" dxfId="161" priority="8" operator="containsText" text="Reference">
      <formula>NOT(ISERROR(SEARCH("Reference",O23)))</formula>
    </cfRule>
  </conditionalFormatting>
  <conditionalFormatting sqref="G23:H23">
    <cfRule type="containsText" dxfId="160" priority="7" operator="containsText" text="Reference">
      <formula>NOT(ISERROR(SEARCH("Reference",G23)))</formula>
    </cfRule>
  </conditionalFormatting>
  <conditionalFormatting sqref="L23:M23">
    <cfRule type="containsText" dxfId="159" priority="6" operator="containsText" text="Reference">
      <formula>NOT(ISERROR(SEARCH("Reference",L23)))</formula>
    </cfRule>
  </conditionalFormatting>
  <conditionalFormatting sqref="C85:U86">
    <cfRule type="containsText" dxfId="158" priority="5" operator="containsText" text="Specify complete references and data sources used here">
      <formula>NOT(ISERROR(SEARCH("Specify complete references and data sources used here",C85)))</formula>
    </cfRule>
  </conditionalFormatting>
  <conditionalFormatting sqref="D33">
    <cfRule type="containsText" dxfId="157" priority="4"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N23">
    <cfRule type="containsText" dxfId="156" priority="3" operator="containsText" text="Reference">
      <formula>NOT(ISERROR(SEARCH("Reference",N23)))</formula>
    </cfRule>
  </conditionalFormatting>
  <conditionalFormatting sqref="D45">
    <cfRule type="containsText" dxfId="155" priority="2" operator="containsText" text="Explain here (e.g. other costs)">
      <formula>NOT(ISERROR(SEARCH("Explain here (e.g. other costs)",D45)))</formula>
    </cfRule>
  </conditionalFormatting>
  <conditionalFormatting sqref="D65">
    <cfRule type="containsText" dxfId="154" priority="1" operator="containsText" text="Explain here">
      <formula>NOT(ISERROR(SEARCH("Explain here",D65)))</formula>
    </cfRule>
  </conditionalFormatting>
  <dataValidations count="7">
    <dataValidation type="list" allowBlank="1" showInputMessage="1" showErrorMessage="1" prompt="More details are found in 'READ ME' tab" sqref="L12:O12" xr:uid="{28E8D749-8CDF-4FA5-8FE6-0F8E93D48860}">
      <formula1>$C$17:$C$29</formula1>
    </dataValidation>
    <dataValidation type="list" allowBlank="1" showInputMessage="1" showErrorMessage="1" sqref="L7:O7" xr:uid="{A6BA589D-FEA8-4592-8457-427AC4F939FA}">
      <formula1>$B$3:$B$24</formula1>
    </dataValidation>
    <dataValidation type="list" allowBlank="1" showInputMessage="1" showErrorMessage="1" sqref="L10:O10" xr:uid="{080F8630-403A-47B7-B1C4-6201D17162C0}">
      <formula1>$D$3:$D$14</formula1>
    </dataValidation>
    <dataValidation type="list" allowBlank="1" showInputMessage="1" showErrorMessage="1" sqref="L9:O9" xr:uid="{8DFECBEC-6D79-485D-9258-0276F1710688}">
      <formula1>$X$1:$X$4</formula1>
    </dataValidation>
    <dataValidation type="list" allowBlank="1" showInputMessage="1" showErrorMessage="1" sqref="L32:O32" xr:uid="{B5513D24-282C-4AA5-B1C7-CCD80A33992A}">
      <formula1>$X$6:$X$8</formula1>
    </dataValidation>
    <dataValidation type="textLength" operator="lessThanOrEqual" allowBlank="1" showInputMessage="1" showErrorMessage="1" error="The cell only allows up to 700 characters._x000a_" prompt="Maximum length: 700 characters" sqref="L11:O11" xr:uid="{9E2388AD-E1BD-43D9-8893-31B63BD24A75}">
      <formula1>700</formula1>
    </dataValidation>
    <dataValidation allowBlank="1" showInputMessage="1" showErrorMessage="1" prompt="More details are found in 'READ ME' tab" sqref="L13:O13 D13" xr:uid="{B7B8D933-16D3-4E75-8A13-53D46559C119}"/>
  </dataValidations>
  <pageMargins left="0.7" right="0.7" top="0.75" bottom="0.75" header="0.3" footer="0.3"/>
  <pageSetup paperSize="9" scale="24" orientation="landscape"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40697B1D-FECC-47E3-B730-62CC0BF02AF2}">
          <x14:formula1>
            <xm:f>List!$J$3:$J$69</xm:f>
          </x14:formula1>
          <xm:sqref>D51:E56</xm:sqref>
        </x14:dataValidation>
        <x14:dataValidation type="list" allowBlank="1" showInputMessage="1" showErrorMessage="1" xr:uid="{EF40534F-92AA-4C24-8638-9DADC029036C}">
          <x14:formula1>
            <xm:f>List!$X$10:$X$13</xm:f>
          </x14:formula1>
          <xm:sqref>F21</xm:sqref>
        </x14:dataValidation>
        <x14:dataValidation type="list" allowBlank="1" showInputMessage="1" showErrorMessage="1" xr:uid="{901B81F8-AC30-40F3-841F-4F469D1EC7DB}">
          <x14:formula1>
            <xm:f>List!$J$2:$J$75</xm:f>
          </x14:formula1>
          <xm:sqref>D49:E50</xm:sqref>
        </x14:dataValidation>
        <x14:dataValidation type="list" allowBlank="1" showInputMessage="1" showErrorMessage="1" xr:uid="{38D73D1D-1041-4D89-98FB-9EF0495532F7}">
          <x14:formula1>
            <xm:f>List!$P$3:$P$13</xm:f>
          </x14:formula1>
          <xm:sqref>D69:E76</xm:sqref>
        </x14:dataValidation>
        <x14:dataValidation type="list" allowBlank="1" showInputMessage="1" showErrorMessage="1" xr:uid="{793A2A2E-8CDB-4209-9C45-6316C2C3E71A}">
          <x14:formula1>
            <xm:f>List!$X$2:$X$4</xm:f>
          </x14:formula1>
          <xm:sqref>D9:K9</xm:sqref>
        </x14:dataValidation>
        <x14:dataValidation type="list" allowBlank="1" showInputMessage="1" showErrorMessage="1" xr:uid="{0C15EB24-AD84-49A1-8383-A57DB0FEDCB6}">
          <x14:formula1>
            <xm:f>List!$F$3:$F$17</xm:f>
          </x14:formula1>
          <xm:sqref>D15:K16</xm:sqref>
        </x14:dataValidation>
        <x14:dataValidation type="list" allowBlank="1" showInputMessage="1" showErrorMessage="1" xr:uid="{FC55F3E6-B707-4AB3-962E-0204B561BC48}">
          <x14:formula1>
            <xm:f>List!$B$3:$B$26</xm:f>
          </x14:formula1>
          <xm:sqref>D7</xm:sqref>
        </x14:dataValidation>
        <x14:dataValidation type="list" allowBlank="1" showInputMessage="1" showErrorMessage="1" xr:uid="{2F226F89-C484-4133-95C4-F431B27DCCA0}">
          <x14:formula1>
            <xm:f>List!$H$3:$H$10</xm:f>
          </x14:formula1>
          <xm:sqref>D28</xm:sqref>
        </x14:dataValidation>
        <x14:dataValidation type="list" allowBlank="1" showInputMessage="1" showErrorMessage="1" xr:uid="{5A00BB27-1653-4015-B4B3-1109F3D4BD39}">
          <x14:formula1>
            <xm:f>List!$R$3:$R$6</xm:f>
          </x14:formula1>
          <xm:sqref>F69:F76</xm:sqref>
        </x14:dataValidation>
        <x14:dataValidation type="list" allowBlank="1" showInputMessage="1" showErrorMessage="1" xr:uid="{775DFF67-4EFE-4355-80DF-14D8D60A3DFD}">
          <x14:formula1>
            <xm:f>List!$D$3:$D$17</xm:f>
          </x14:formula1>
          <xm:sqref>D10</xm:sqref>
        </x14:dataValidation>
        <x14:dataValidation type="list" allowBlank="1" showInputMessage="1" showErrorMessage="1" xr:uid="{452F2341-DA71-4A28-9919-A54940154B3E}">
          <x14:formula1>
            <xm:f>List!$X$6:$X$8</xm:f>
          </x14:formula1>
          <xm:sqref>D32</xm:sqref>
        </x14:dataValidation>
        <x14:dataValidation type="list" allowBlank="1" showInputMessage="1" showErrorMessage="1" prompt="More details are found in 'READ ME' tab" xr:uid="{1A300792-6A8B-46B8-BA61-22F7A04B04F6}">
          <x14:formula1>
            <xm:f>'READ ME'!$C$21:$C$29</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96"/>
  <sheetViews>
    <sheetView zoomScale="80" zoomScaleNormal="80" workbookViewId="0">
      <selection activeCell="D11" sqref="D11:K11"/>
    </sheetView>
  </sheetViews>
  <sheetFormatPr defaultColWidth="11" defaultRowHeight="14.5" x14ac:dyDescent="0.35"/>
  <cols>
    <col min="1" max="1" width="4.5" style="72" customWidth="1"/>
    <col min="2" max="2" width="11" style="72"/>
    <col min="3" max="3" width="24.75" style="72" customWidth="1"/>
    <col min="4" max="5" width="12.5" style="72" customWidth="1"/>
    <col min="6" max="6" width="18.5" style="72" customWidth="1"/>
    <col min="7" max="21" width="12.5" style="72" customWidth="1"/>
    <col min="22" max="51" width="11" style="72"/>
    <col min="52" max="52" width="101.33203125" style="106" hidden="1" customWidth="1"/>
    <col min="53" max="53" width="182" style="106" hidden="1" customWidth="1"/>
    <col min="54" max="16384" width="11" style="72"/>
  </cols>
  <sheetData>
    <row r="1" spans="1:52" ht="21" x14ac:dyDescent="0.5">
      <c r="A1" s="3" t="s">
        <v>160</v>
      </c>
      <c r="B1" s="120"/>
      <c r="C1" s="120"/>
      <c r="D1" s="98"/>
      <c r="E1" s="120"/>
      <c r="F1" s="120"/>
      <c r="G1" s="120"/>
      <c r="H1" s="120"/>
      <c r="I1" s="120"/>
      <c r="J1" s="120"/>
      <c r="K1" s="120"/>
      <c r="L1" s="120"/>
      <c r="M1" s="120"/>
      <c r="N1" s="120"/>
      <c r="O1" s="120"/>
      <c r="P1" s="120"/>
      <c r="Q1" s="120"/>
      <c r="R1" s="120"/>
      <c r="S1" s="120"/>
      <c r="T1" s="120"/>
      <c r="U1" s="120"/>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row>
    <row r="2" spans="1:52" x14ac:dyDescent="0.35">
      <c r="A2" s="98" t="s">
        <v>161</v>
      </c>
      <c r="B2" s="120"/>
      <c r="C2" s="120"/>
      <c r="D2" s="98"/>
      <c r="E2" s="120"/>
      <c r="F2" s="120"/>
      <c r="G2" s="120"/>
      <c r="H2" s="120"/>
      <c r="I2" s="120"/>
      <c r="J2" s="120"/>
      <c r="K2" s="120"/>
      <c r="L2" s="120"/>
      <c r="M2" s="120"/>
      <c r="N2" s="120"/>
      <c r="O2" s="120"/>
      <c r="P2" s="120"/>
      <c r="Q2" s="120"/>
      <c r="R2" s="120"/>
      <c r="S2" s="120"/>
      <c r="T2" s="120"/>
      <c r="U2" s="120"/>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row>
    <row r="3" spans="1:52" x14ac:dyDescent="0.35">
      <c r="A3" s="120"/>
      <c r="B3" s="120"/>
      <c r="C3" s="120"/>
      <c r="D3" s="120"/>
      <c r="E3" s="120"/>
      <c r="F3" s="120"/>
      <c r="G3" s="120"/>
      <c r="H3" s="120"/>
      <c r="I3" s="120"/>
      <c r="J3" s="120"/>
      <c r="K3" s="120"/>
      <c r="L3" s="120"/>
      <c r="M3" s="120"/>
      <c r="N3" s="120"/>
      <c r="O3" s="120"/>
      <c r="P3" s="120"/>
      <c r="Q3" s="120"/>
      <c r="R3" s="120"/>
      <c r="S3" s="120"/>
      <c r="T3" s="120"/>
      <c r="U3" s="120"/>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row>
    <row r="4" spans="1:52" ht="21" customHeight="1" x14ac:dyDescent="0.35">
      <c r="A4" s="120"/>
      <c r="B4" s="313" t="s">
        <v>162</v>
      </c>
      <c r="C4" s="314"/>
      <c r="D4" s="314"/>
      <c r="E4" s="314"/>
      <c r="F4" s="314"/>
      <c r="G4" s="314"/>
      <c r="H4" s="314"/>
      <c r="I4" s="314"/>
      <c r="J4" s="314"/>
      <c r="K4" s="315"/>
      <c r="L4" s="74"/>
      <c r="M4" s="74"/>
      <c r="N4" s="74"/>
      <c r="O4" s="74"/>
      <c r="P4" s="120"/>
      <c r="Q4" s="120"/>
      <c r="R4" s="120"/>
      <c r="S4" s="120"/>
      <c r="T4" s="120"/>
      <c r="U4" s="120"/>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row>
    <row r="5" spans="1:52" ht="15.75" customHeight="1" x14ac:dyDescent="0.35">
      <c r="A5" s="120"/>
      <c r="B5" s="320" t="s">
        <v>163</v>
      </c>
      <c r="C5" s="320"/>
      <c r="D5" s="284" t="s">
        <v>164</v>
      </c>
      <c r="E5" s="285"/>
      <c r="F5" s="285"/>
      <c r="G5" s="285"/>
      <c r="H5" s="285"/>
      <c r="I5" s="285"/>
      <c r="J5" s="285"/>
      <c r="K5" s="286"/>
      <c r="L5" s="178"/>
      <c r="M5" s="178"/>
      <c r="N5" s="178"/>
      <c r="O5" s="178"/>
      <c r="P5" s="120"/>
      <c r="Q5" s="120"/>
      <c r="R5" s="120"/>
      <c r="S5" s="120"/>
      <c r="T5" s="120"/>
      <c r="U5" s="120"/>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row>
    <row r="6" spans="1:52" ht="15.75" customHeight="1" x14ac:dyDescent="0.35">
      <c r="A6" s="120"/>
      <c r="B6" s="320" t="s">
        <v>165</v>
      </c>
      <c r="C6" s="320"/>
      <c r="D6" s="321">
        <v>43346</v>
      </c>
      <c r="E6" s="322"/>
      <c r="F6" s="322"/>
      <c r="G6" s="322"/>
      <c r="H6" s="322"/>
      <c r="I6" s="322"/>
      <c r="J6" s="322"/>
      <c r="K6" s="323"/>
      <c r="L6" s="178"/>
      <c r="M6" s="178"/>
      <c r="N6" s="178"/>
      <c r="O6" s="178"/>
      <c r="P6" s="120"/>
      <c r="Q6" s="120"/>
      <c r="R6" s="120"/>
      <c r="S6" s="120"/>
      <c r="T6" s="120"/>
      <c r="U6" s="120"/>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row>
    <row r="7" spans="1:52" x14ac:dyDescent="0.35">
      <c r="A7" s="120"/>
      <c r="B7" s="324" t="s">
        <v>13</v>
      </c>
      <c r="C7" s="325"/>
      <c r="D7" s="328"/>
      <c r="E7" s="329"/>
      <c r="F7" s="329"/>
      <c r="G7" s="329"/>
      <c r="H7" s="329"/>
      <c r="I7" s="329"/>
      <c r="J7" s="329"/>
      <c r="K7" s="330"/>
      <c r="L7" s="179"/>
      <c r="M7" s="179"/>
      <c r="N7" s="179"/>
      <c r="O7" s="179"/>
      <c r="P7" s="120"/>
      <c r="Q7" s="120"/>
      <c r="R7" s="120"/>
      <c r="S7" s="120"/>
      <c r="T7" s="120"/>
      <c r="U7" s="120"/>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row>
    <row r="8" spans="1:52" ht="15.75" customHeight="1" x14ac:dyDescent="0.35">
      <c r="A8" s="120"/>
      <c r="B8" s="326"/>
      <c r="C8" s="327"/>
      <c r="D8" s="331" t="s">
        <v>166</v>
      </c>
      <c r="E8" s="332"/>
      <c r="F8" s="332"/>
      <c r="G8" s="332"/>
      <c r="H8" s="332"/>
      <c r="I8" s="332"/>
      <c r="J8" s="332"/>
      <c r="K8" s="333"/>
      <c r="L8" s="179"/>
      <c r="M8" s="179"/>
      <c r="N8" s="179"/>
      <c r="O8" s="179"/>
      <c r="P8" s="120"/>
      <c r="Q8" s="120"/>
      <c r="R8" s="120"/>
      <c r="S8" s="120"/>
      <c r="T8" s="120"/>
      <c r="U8" s="120"/>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row>
    <row r="9" spans="1:52" ht="15.75" customHeight="1" x14ac:dyDescent="0.35">
      <c r="A9" s="120"/>
      <c r="B9" s="316" t="s">
        <v>17</v>
      </c>
      <c r="C9" s="316"/>
      <c r="D9" s="317" t="s">
        <v>167</v>
      </c>
      <c r="E9" s="318"/>
      <c r="F9" s="318"/>
      <c r="G9" s="318"/>
      <c r="H9" s="318"/>
      <c r="I9" s="318"/>
      <c r="J9" s="318"/>
      <c r="K9" s="319"/>
      <c r="L9" s="73"/>
      <c r="M9" s="73"/>
      <c r="N9" s="73"/>
      <c r="O9" s="73"/>
      <c r="P9" s="120"/>
      <c r="Q9" s="120"/>
      <c r="R9" s="120"/>
      <c r="S9" s="120"/>
      <c r="T9" s="120"/>
      <c r="U9" s="120"/>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row>
    <row r="10" spans="1:52" ht="15.75" customHeight="1" x14ac:dyDescent="0.35">
      <c r="A10" s="120"/>
      <c r="B10" s="316" t="s">
        <v>19</v>
      </c>
      <c r="C10" s="316"/>
      <c r="D10" s="317" t="s">
        <v>168</v>
      </c>
      <c r="E10" s="318"/>
      <c r="F10" s="318"/>
      <c r="G10" s="318"/>
      <c r="H10" s="318"/>
      <c r="I10" s="318"/>
      <c r="J10" s="318"/>
      <c r="K10" s="319"/>
      <c r="L10" s="178"/>
      <c r="M10" s="178"/>
      <c r="N10" s="178"/>
      <c r="O10" s="178"/>
      <c r="P10" s="120"/>
      <c r="Q10" s="120"/>
      <c r="R10" s="120"/>
      <c r="S10" s="120"/>
      <c r="T10" s="120"/>
      <c r="U10" s="120"/>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row>
    <row r="11" spans="1:52" ht="203" x14ac:dyDescent="0.35">
      <c r="A11" s="120"/>
      <c r="B11" s="276" t="s">
        <v>22</v>
      </c>
      <c r="C11" s="276"/>
      <c r="D11" s="246" t="s">
        <v>169</v>
      </c>
      <c r="E11" s="247"/>
      <c r="F11" s="247"/>
      <c r="G11" s="247"/>
      <c r="H11" s="247"/>
      <c r="I11" s="247"/>
      <c r="J11" s="247"/>
      <c r="K11" s="248"/>
      <c r="L11" s="179"/>
      <c r="M11" s="179"/>
      <c r="N11" s="179"/>
      <c r="O11" s="179"/>
      <c r="P11" s="120"/>
      <c r="Q11" s="120"/>
      <c r="R11" s="120"/>
      <c r="S11" s="120"/>
      <c r="T11" s="120"/>
      <c r="U11" s="120"/>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07" t="str">
        <f>D11</f>
        <v xml:space="preserve">Wet biomass in this category refers to organic wastes such as residual flows from the food and beverage industry, vegetable, fruit and garden wastes, or organic wet faction of household wastes. The residual flows are mentioned in the NTA8003 and published by the Netherlands Standardization Institute. For this category, a minimum biogas production of 25 Nm3 (natural gas equivalent) for tonne feedstock is requested. Manure is not included in this category. 
The biomass is digested in a state-of the-art anaerobic digestion installation to produce biogas. The installation consists of storage and pre-treatment, digestion installations, combustion of biogas and post treatment and storage of digestate (i.e. dewatering, drying, in some cases hygenisation and storage). On average, the residence time of the organic waste in the fermenter is around 30 days and biogas is produced. 
Biogas consists mainly of methane (in average 60%) and carbon dioxide (33-38%) in addition to contaminants such as sulphur, water vapor and oxygen. The biogas is desulfurized prior to it being fed into a gas motor to produce heat and electricity. The Activities Decree on emissions for combustion plants requires that the gas motors comply with the emission limits for SO2 and NOx. </v>
      </c>
    </row>
    <row r="12" spans="1:52" ht="15.75" customHeight="1" x14ac:dyDescent="0.35">
      <c r="A12" s="120"/>
      <c r="B12" s="245" t="s">
        <v>170</v>
      </c>
      <c r="C12" s="245"/>
      <c r="D12" s="334" t="s">
        <v>29</v>
      </c>
      <c r="E12" s="322"/>
      <c r="F12" s="322"/>
      <c r="G12" s="322"/>
      <c r="H12" s="322"/>
      <c r="I12" s="322"/>
      <c r="J12" s="322"/>
      <c r="K12" s="323"/>
      <c r="L12" s="178"/>
      <c r="M12" s="178"/>
      <c r="N12" s="178"/>
      <c r="O12" s="178"/>
      <c r="P12" s="120"/>
      <c r="Q12" s="120"/>
      <c r="R12" s="120"/>
      <c r="S12" s="120"/>
      <c r="T12" s="120"/>
      <c r="U12" s="120"/>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row>
    <row r="13" spans="1:52" ht="28.5" customHeight="1" x14ac:dyDescent="0.35">
      <c r="A13" s="120"/>
      <c r="B13" s="245"/>
      <c r="C13" s="245"/>
      <c r="D13" s="335" t="s">
        <v>171</v>
      </c>
      <c r="E13" s="336"/>
      <c r="F13" s="336"/>
      <c r="G13" s="336"/>
      <c r="H13" s="336"/>
      <c r="I13" s="336"/>
      <c r="J13" s="336"/>
      <c r="K13" s="337"/>
      <c r="L13" s="179"/>
      <c r="M13" s="179"/>
      <c r="N13" s="179"/>
      <c r="O13" s="179"/>
      <c r="P13" s="120"/>
      <c r="Q13" s="120"/>
      <c r="R13" s="120"/>
      <c r="S13" s="120"/>
      <c r="T13" s="120"/>
      <c r="U13" s="120"/>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07" t="str">
        <f>D13</f>
        <v xml:space="preserve">Anaerobic digestion technology and CHP are widely applied commercial technologies. </v>
      </c>
    </row>
    <row r="14" spans="1:52" ht="21" customHeight="1" x14ac:dyDescent="0.35">
      <c r="A14" s="120"/>
      <c r="B14" s="313" t="s">
        <v>47</v>
      </c>
      <c r="C14" s="314"/>
      <c r="D14" s="314"/>
      <c r="E14" s="314"/>
      <c r="F14" s="314"/>
      <c r="G14" s="314"/>
      <c r="H14" s="314"/>
      <c r="I14" s="314"/>
      <c r="J14" s="314"/>
      <c r="K14" s="315"/>
      <c r="L14" s="74"/>
      <c r="M14" s="74"/>
      <c r="N14" s="74"/>
      <c r="O14" s="74"/>
      <c r="P14" s="120"/>
      <c r="Q14" s="120"/>
      <c r="R14" s="120"/>
      <c r="S14" s="120"/>
      <c r="T14" s="120"/>
      <c r="U14" s="120"/>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row>
    <row r="15" spans="1:52" ht="15" customHeight="1" x14ac:dyDescent="0.35">
      <c r="A15" s="120"/>
      <c r="B15" s="287" t="s">
        <v>48</v>
      </c>
      <c r="C15" s="287"/>
      <c r="D15" s="237" t="s">
        <v>456</v>
      </c>
      <c r="E15" s="238"/>
      <c r="F15" s="238"/>
      <c r="G15" s="238"/>
      <c r="H15" s="238"/>
      <c r="I15" s="238"/>
      <c r="J15" s="238"/>
      <c r="K15" s="239"/>
      <c r="L15" s="74"/>
      <c r="M15" s="74"/>
      <c r="N15" s="74"/>
      <c r="O15" s="74"/>
      <c r="P15" s="120"/>
      <c r="Q15" s="120"/>
      <c r="R15" s="120"/>
      <c r="S15" s="120"/>
      <c r="T15" s="120"/>
      <c r="U15" s="120"/>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row>
    <row r="16" spans="1:52" ht="15" customHeight="1" x14ac:dyDescent="0.35">
      <c r="A16" s="120"/>
      <c r="B16" s="287"/>
      <c r="C16" s="287"/>
      <c r="D16" s="240"/>
      <c r="E16" s="241"/>
      <c r="F16" s="241"/>
      <c r="G16" s="241"/>
      <c r="H16" s="241"/>
      <c r="I16" s="241"/>
      <c r="J16" s="241"/>
      <c r="K16" s="242"/>
      <c r="L16" s="74"/>
      <c r="M16" s="74"/>
      <c r="N16" s="74"/>
      <c r="O16" s="74"/>
      <c r="P16" s="120"/>
      <c r="Q16" s="120"/>
      <c r="R16" s="120"/>
      <c r="S16" s="120"/>
      <c r="T16" s="120"/>
      <c r="U16" s="120"/>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row>
    <row r="17" spans="1:21" x14ac:dyDescent="0.35">
      <c r="A17" s="120"/>
      <c r="B17" s="308"/>
      <c r="C17" s="308"/>
      <c r="D17" s="309" t="s">
        <v>173</v>
      </c>
      <c r="E17" s="309"/>
      <c r="F17" s="309"/>
      <c r="G17" s="168" t="s">
        <v>174</v>
      </c>
      <c r="H17" s="168" t="s">
        <v>175</v>
      </c>
      <c r="I17" s="168" t="s">
        <v>176</v>
      </c>
      <c r="J17" s="168" t="s">
        <v>177</v>
      </c>
      <c r="K17" s="168" t="s">
        <v>178</v>
      </c>
      <c r="L17" s="75"/>
      <c r="M17" s="75"/>
      <c r="N17" s="75"/>
      <c r="O17" s="75"/>
      <c r="P17" s="120"/>
      <c r="Q17" s="120"/>
      <c r="R17" s="120"/>
      <c r="S17" s="120"/>
      <c r="T17" s="120"/>
      <c r="U17" s="120"/>
    </row>
    <row r="18" spans="1:21" ht="15.75" customHeight="1" x14ac:dyDescent="0.35">
      <c r="A18" s="120"/>
      <c r="B18" s="287" t="s">
        <v>52</v>
      </c>
      <c r="C18" s="287"/>
      <c r="D18" s="310" t="str">
        <f>IF(D15="Please select","Select Functional Unit above",D15)</f>
        <v xml:space="preserve">kWth </v>
      </c>
      <c r="E18" s="310"/>
      <c r="F18" s="310"/>
      <c r="G18" s="92">
        <v>5500</v>
      </c>
      <c r="H18" s="91"/>
      <c r="I18" s="91"/>
      <c r="J18" s="91"/>
      <c r="K18" s="91"/>
      <c r="L18" s="76"/>
      <c r="M18" s="76"/>
      <c r="N18" s="76"/>
      <c r="O18" s="76"/>
      <c r="P18" s="120"/>
      <c r="Q18" s="120"/>
      <c r="R18" s="120"/>
      <c r="S18" s="120"/>
      <c r="T18" s="120"/>
      <c r="U18" s="120"/>
    </row>
    <row r="19" spans="1:21" ht="15.75" customHeight="1" x14ac:dyDescent="0.35">
      <c r="A19" s="120"/>
      <c r="B19" s="287"/>
      <c r="C19" s="287"/>
      <c r="D19" s="310"/>
      <c r="E19" s="310"/>
      <c r="F19" s="310"/>
      <c r="G19" s="102" t="s">
        <v>180</v>
      </c>
      <c r="H19" s="102" t="s">
        <v>181</v>
      </c>
      <c r="I19" s="102" t="s">
        <v>181</v>
      </c>
      <c r="J19" s="102" t="s">
        <v>181</v>
      </c>
      <c r="K19" s="102" t="s">
        <v>181</v>
      </c>
      <c r="L19" s="76"/>
      <c r="M19" s="76"/>
      <c r="N19" s="76"/>
      <c r="O19" s="76"/>
      <c r="P19" s="120"/>
      <c r="Q19" s="120"/>
      <c r="R19" s="120"/>
      <c r="S19" s="120"/>
      <c r="T19" s="120"/>
      <c r="U19" s="120"/>
    </row>
    <row r="20" spans="1:21" ht="15.75" customHeight="1" x14ac:dyDescent="0.35">
      <c r="A20" s="120"/>
      <c r="B20" s="308"/>
      <c r="C20" s="308"/>
      <c r="D20" s="311" t="s">
        <v>173</v>
      </c>
      <c r="E20" s="312"/>
      <c r="F20" s="170" t="s">
        <v>182</v>
      </c>
      <c r="G20" s="235" t="s">
        <v>183</v>
      </c>
      <c r="H20" s="235"/>
      <c r="I20" s="235"/>
      <c r="J20" s="235"/>
      <c r="K20" s="235"/>
      <c r="L20" s="236">
        <v>2030</v>
      </c>
      <c r="M20" s="236"/>
      <c r="N20" s="236"/>
      <c r="O20" s="236"/>
      <c r="P20" s="236"/>
      <c r="Q20" s="235">
        <v>2050</v>
      </c>
      <c r="R20" s="235"/>
      <c r="S20" s="235"/>
      <c r="T20" s="235"/>
      <c r="U20" s="235"/>
    </row>
    <row r="21" spans="1:21" ht="15.75" customHeight="1" x14ac:dyDescent="0.35">
      <c r="A21" s="120"/>
      <c r="B21" s="293" t="s">
        <v>57</v>
      </c>
      <c r="C21" s="294"/>
      <c r="D21" s="299" t="str">
        <f>IF(D15="Please select","Select Functional Unit above",D15)</f>
        <v xml:space="preserve">kWth </v>
      </c>
      <c r="E21" s="300"/>
      <c r="F21" s="305" t="s">
        <v>184</v>
      </c>
      <c r="G21" s="168" t="s">
        <v>174</v>
      </c>
      <c r="H21" s="168" t="s">
        <v>175</v>
      </c>
      <c r="I21" s="168" t="s">
        <v>176</v>
      </c>
      <c r="J21" s="168" t="s">
        <v>177</v>
      </c>
      <c r="K21" s="168" t="s">
        <v>178</v>
      </c>
      <c r="L21" s="169" t="s">
        <v>174</v>
      </c>
      <c r="M21" s="169" t="s">
        <v>175</v>
      </c>
      <c r="N21" s="169" t="s">
        <v>176</v>
      </c>
      <c r="O21" s="169" t="s">
        <v>177</v>
      </c>
      <c r="P21" s="169" t="s">
        <v>178</v>
      </c>
      <c r="Q21" s="168" t="s">
        <v>174</v>
      </c>
      <c r="R21" s="168" t="s">
        <v>175</v>
      </c>
      <c r="S21" s="168" t="s">
        <v>176</v>
      </c>
      <c r="T21" s="168" t="s">
        <v>177</v>
      </c>
      <c r="U21" s="168" t="s">
        <v>178</v>
      </c>
    </row>
    <row r="22" spans="1:21" ht="15" customHeight="1" x14ac:dyDescent="0.35">
      <c r="A22" s="120"/>
      <c r="B22" s="295"/>
      <c r="C22" s="296"/>
      <c r="D22" s="301"/>
      <c r="E22" s="302"/>
      <c r="F22" s="306"/>
      <c r="G22" s="92"/>
      <c r="H22" s="162">
        <v>867000</v>
      </c>
      <c r="I22" s="162">
        <v>700000</v>
      </c>
      <c r="J22" s="162">
        <v>455000</v>
      </c>
      <c r="K22" s="91"/>
      <c r="L22" s="90"/>
      <c r="M22" s="161">
        <v>1042000</v>
      </c>
      <c r="N22" s="161">
        <v>731000</v>
      </c>
      <c r="O22" s="161">
        <v>545000</v>
      </c>
      <c r="P22" s="101"/>
      <c r="Q22" s="90"/>
      <c r="R22" s="101"/>
      <c r="S22" s="101"/>
      <c r="T22" s="101"/>
      <c r="U22" s="101"/>
    </row>
    <row r="23" spans="1:21" x14ac:dyDescent="0.35">
      <c r="A23" s="120"/>
      <c r="B23" s="297"/>
      <c r="C23" s="298"/>
      <c r="D23" s="303"/>
      <c r="E23" s="304"/>
      <c r="F23" s="307"/>
      <c r="G23" s="158"/>
      <c r="H23" s="158" t="s">
        <v>185</v>
      </c>
      <c r="I23" s="158" t="s">
        <v>186</v>
      </c>
      <c r="J23" s="102" t="s">
        <v>187</v>
      </c>
      <c r="K23" s="102" t="s">
        <v>181</v>
      </c>
      <c r="L23" s="158"/>
      <c r="M23" s="158" t="s">
        <v>185</v>
      </c>
      <c r="N23" s="158" t="s">
        <v>186</v>
      </c>
      <c r="O23" s="102" t="str">
        <f>J23</f>
        <v>Routekaart Hernieuwbaar gas, 2014</v>
      </c>
      <c r="P23" s="102" t="s">
        <v>181</v>
      </c>
      <c r="Q23" s="102" t="s">
        <v>181</v>
      </c>
      <c r="R23" s="102" t="s">
        <v>181</v>
      </c>
      <c r="S23" s="102" t="s">
        <v>181</v>
      </c>
      <c r="T23" s="102" t="s">
        <v>181</v>
      </c>
      <c r="U23" s="102" t="s">
        <v>181</v>
      </c>
    </row>
    <row r="24" spans="1:21" ht="15.75" customHeight="1" x14ac:dyDescent="0.35">
      <c r="A24" s="120"/>
      <c r="B24" s="287" t="s">
        <v>188</v>
      </c>
      <c r="C24" s="287"/>
      <c r="D24" s="237" t="s">
        <v>189</v>
      </c>
      <c r="E24" s="239"/>
      <c r="F24" s="291" t="s">
        <v>190</v>
      </c>
      <c r="G24" s="92"/>
      <c r="H24" s="91"/>
      <c r="I24" s="91"/>
      <c r="J24" s="91"/>
      <c r="K24" s="91"/>
      <c r="L24" s="90"/>
      <c r="M24" s="101"/>
      <c r="N24" s="101"/>
      <c r="O24" s="101"/>
      <c r="P24" s="101"/>
      <c r="Q24" s="90"/>
      <c r="R24" s="101"/>
      <c r="S24" s="101"/>
      <c r="T24" s="101"/>
      <c r="U24" s="101"/>
    </row>
    <row r="25" spans="1:21" ht="15.75" customHeight="1" x14ac:dyDescent="0.35">
      <c r="A25" s="120"/>
      <c r="B25" s="287"/>
      <c r="C25" s="287"/>
      <c r="D25" s="240"/>
      <c r="E25" s="242"/>
      <c r="F25" s="292"/>
      <c r="G25" s="102" t="s">
        <v>181</v>
      </c>
      <c r="H25" s="102" t="s">
        <v>181</v>
      </c>
      <c r="I25" s="102" t="s">
        <v>181</v>
      </c>
      <c r="J25" s="102" t="s">
        <v>181</v>
      </c>
      <c r="K25" s="102" t="s">
        <v>181</v>
      </c>
      <c r="L25" s="102" t="s">
        <v>181</v>
      </c>
      <c r="M25" s="102" t="s">
        <v>181</v>
      </c>
      <c r="N25" s="102" t="s">
        <v>181</v>
      </c>
      <c r="O25" s="102" t="s">
        <v>181</v>
      </c>
      <c r="P25" s="102" t="s">
        <v>181</v>
      </c>
      <c r="Q25" s="102" t="s">
        <v>181</v>
      </c>
      <c r="R25" s="102" t="s">
        <v>181</v>
      </c>
      <c r="S25" s="102" t="s">
        <v>181</v>
      </c>
      <c r="T25" s="102" t="s">
        <v>181</v>
      </c>
      <c r="U25" s="102" t="s">
        <v>181</v>
      </c>
    </row>
    <row r="26" spans="1:21" x14ac:dyDescent="0.35">
      <c r="A26" s="120"/>
      <c r="B26" s="280" t="s">
        <v>66</v>
      </c>
      <c r="C26" s="280"/>
      <c r="D26" s="281" t="s">
        <v>191</v>
      </c>
      <c r="E26" s="282"/>
      <c r="F26" s="282"/>
      <c r="G26" s="282"/>
      <c r="H26" s="282"/>
      <c r="I26" s="282"/>
      <c r="J26" s="282"/>
      <c r="K26" s="283"/>
      <c r="L26" s="78"/>
      <c r="M26" s="78"/>
      <c r="N26" s="78"/>
      <c r="O26" s="78"/>
      <c r="P26" s="120"/>
      <c r="Q26" s="120"/>
      <c r="R26" s="120"/>
      <c r="S26" s="120"/>
      <c r="T26" s="120"/>
      <c r="U26" s="120"/>
    </row>
    <row r="27" spans="1:21" x14ac:dyDescent="0.35">
      <c r="A27" s="120"/>
      <c r="B27" s="280" t="s">
        <v>69</v>
      </c>
      <c r="C27" s="280"/>
      <c r="D27" s="281">
        <v>8000</v>
      </c>
      <c r="E27" s="282"/>
      <c r="F27" s="282"/>
      <c r="G27" s="282"/>
      <c r="H27" s="282"/>
      <c r="I27" s="282"/>
      <c r="J27" s="282"/>
      <c r="K27" s="283"/>
      <c r="L27" s="78"/>
      <c r="M27" s="78"/>
      <c r="N27" s="78"/>
      <c r="O27" s="78"/>
      <c r="P27" s="120"/>
      <c r="Q27" s="120"/>
      <c r="R27" s="120"/>
      <c r="S27" s="120"/>
      <c r="T27" s="120"/>
      <c r="U27" s="120"/>
    </row>
    <row r="28" spans="1:21" ht="15" customHeight="1" x14ac:dyDescent="0.35">
      <c r="A28" s="120"/>
      <c r="B28" s="280" t="s">
        <v>71</v>
      </c>
      <c r="C28" s="280"/>
      <c r="D28" s="284" t="s">
        <v>192</v>
      </c>
      <c r="E28" s="285"/>
      <c r="F28" s="285"/>
      <c r="G28" s="285"/>
      <c r="H28" s="285"/>
      <c r="I28" s="285"/>
      <c r="J28" s="285"/>
      <c r="K28" s="286"/>
      <c r="L28" s="78"/>
      <c r="M28" s="78"/>
      <c r="N28" s="78"/>
      <c r="O28" s="78"/>
      <c r="P28" s="120"/>
      <c r="Q28" s="120"/>
      <c r="R28" s="120"/>
      <c r="S28" s="120"/>
      <c r="T28" s="120"/>
      <c r="U28" s="120"/>
    </row>
    <row r="29" spans="1:21" ht="15.75" customHeight="1" x14ac:dyDescent="0.35">
      <c r="A29" s="120"/>
      <c r="B29" s="280" t="s">
        <v>74</v>
      </c>
      <c r="C29" s="280"/>
      <c r="D29" s="281" t="s">
        <v>193</v>
      </c>
      <c r="E29" s="282"/>
      <c r="F29" s="282"/>
      <c r="G29" s="282"/>
      <c r="H29" s="282"/>
      <c r="I29" s="282"/>
      <c r="J29" s="282"/>
      <c r="K29" s="283"/>
      <c r="L29" s="77"/>
      <c r="M29" s="77"/>
      <c r="N29" s="77"/>
      <c r="O29" s="77"/>
      <c r="P29" s="120"/>
      <c r="Q29" s="120"/>
      <c r="R29" s="120"/>
      <c r="S29" s="120"/>
      <c r="T29" s="120"/>
      <c r="U29" s="120"/>
    </row>
    <row r="30" spans="1:21" x14ac:dyDescent="0.35">
      <c r="A30" s="120"/>
      <c r="B30" s="280" t="s">
        <v>79</v>
      </c>
      <c r="C30" s="280"/>
      <c r="D30" s="281">
        <v>15</v>
      </c>
      <c r="E30" s="282"/>
      <c r="F30" s="282"/>
      <c r="G30" s="282"/>
      <c r="H30" s="282"/>
      <c r="I30" s="282"/>
      <c r="J30" s="282"/>
      <c r="K30" s="283"/>
      <c r="L30" s="78"/>
      <c r="M30" s="78"/>
      <c r="N30" s="78"/>
      <c r="O30" s="78"/>
      <c r="P30" s="120"/>
      <c r="Q30" s="120"/>
      <c r="R30" s="120"/>
      <c r="S30" s="120"/>
      <c r="T30" s="120"/>
      <c r="U30" s="120"/>
    </row>
    <row r="31" spans="1:21" x14ac:dyDescent="0.35">
      <c r="A31" s="120"/>
      <c r="B31" s="280" t="s">
        <v>81</v>
      </c>
      <c r="C31" s="280"/>
      <c r="D31" s="281"/>
      <c r="E31" s="282"/>
      <c r="F31" s="282"/>
      <c r="G31" s="282"/>
      <c r="H31" s="282"/>
      <c r="I31" s="282"/>
      <c r="J31" s="282"/>
      <c r="K31" s="283"/>
      <c r="L31" s="78"/>
      <c r="M31" s="78"/>
      <c r="N31" s="78"/>
      <c r="O31" s="78"/>
      <c r="P31" s="120"/>
      <c r="Q31" s="120"/>
      <c r="R31" s="120"/>
      <c r="S31" s="120"/>
      <c r="T31" s="120"/>
      <c r="U31" s="120"/>
    </row>
    <row r="32" spans="1:21" x14ac:dyDescent="0.35">
      <c r="A32" s="120"/>
      <c r="B32" s="280" t="s">
        <v>83</v>
      </c>
      <c r="C32" s="280"/>
      <c r="D32" s="284" t="s">
        <v>292</v>
      </c>
      <c r="E32" s="285"/>
      <c r="F32" s="285"/>
      <c r="G32" s="285"/>
      <c r="H32" s="285"/>
      <c r="I32" s="285"/>
      <c r="J32" s="285"/>
      <c r="K32" s="286"/>
      <c r="L32" s="78"/>
      <c r="M32" s="78"/>
      <c r="N32" s="78"/>
      <c r="O32" s="78"/>
      <c r="P32" s="120"/>
      <c r="Q32" s="120"/>
      <c r="R32" s="120"/>
      <c r="S32" s="120"/>
      <c r="T32" s="120"/>
      <c r="U32" s="120"/>
    </row>
    <row r="33" spans="1:53" ht="145" x14ac:dyDescent="0.35">
      <c r="A33" s="120"/>
      <c r="B33" s="287" t="s">
        <v>194</v>
      </c>
      <c r="C33" s="287"/>
      <c r="D33" s="288" t="s">
        <v>457</v>
      </c>
      <c r="E33" s="289"/>
      <c r="F33" s="289"/>
      <c r="G33" s="289"/>
      <c r="H33" s="289"/>
      <c r="I33" s="289"/>
      <c r="J33" s="289"/>
      <c r="K33" s="290"/>
      <c r="L33" s="179"/>
      <c r="M33" s="179"/>
      <c r="N33" s="179"/>
      <c r="O33" s="179"/>
      <c r="P33" s="120"/>
      <c r="Q33" s="120"/>
      <c r="R33" s="120"/>
      <c r="S33" s="120"/>
      <c r="T33" s="120"/>
      <c r="U33" s="120"/>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07" t="str">
        <f>D33</f>
        <v>The capacity and the potential refers to kWth biogas. Thus, the potential is presented as biogas potential of organic waste streams (excluding manure) and it is the same for all  digestion related pathways, excluding manure digestion. The potential above refers to the total biogas potential from VGI, GFT&amp;ONF, straw, other agricultural residues and energy crops. DNV GL defines the potential for 2023 and 2035. The 2023 data is presented as 2020 and 2035 data as 2030 potential. Aquatic biomass potential is not included in the figures. Elbersen et al (2015) also do not include aquatic biomass. Routekaart Hernieuwbaar Gas report considers a small value (0,1 PJ biogas) for seaweed in 2020 increasing to 16.7 PJ in 2030.  DNV GL (2017) indicates  aquatic biomass potential to be around 18PJ in 2023, increasing to  53 PJ in 2030.
The wet biomass potential ratio among the sectors industry, households and  agriculture  are  38%, 36%, 26% in 2020 and 34%, 32%, 34% in 2030, respectively.  </v>
      </c>
    </row>
    <row r="34" spans="1:53" ht="21" customHeight="1" x14ac:dyDescent="0.35">
      <c r="A34" s="120"/>
      <c r="B34" s="253" t="s">
        <v>196</v>
      </c>
      <c r="C34" s="253"/>
      <c r="D34" s="253"/>
      <c r="E34" s="253"/>
      <c r="F34" s="253"/>
      <c r="G34" s="253"/>
      <c r="H34" s="253"/>
      <c r="I34" s="253"/>
      <c r="J34" s="253"/>
      <c r="K34" s="253"/>
      <c r="L34" s="253"/>
      <c r="M34" s="253"/>
      <c r="N34" s="253"/>
      <c r="O34" s="253"/>
      <c r="P34" s="253"/>
      <c r="Q34" s="253"/>
      <c r="R34" s="253"/>
      <c r="S34" s="253"/>
      <c r="T34" s="253"/>
      <c r="U34" s="253"/>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row>
    <row r="35" spans="1:53" ht="15.75" customHeight="1" x14ac:dyDescent="0.35">
      <c r="A35" s="120"/>
      <c r="B35" s="277" t="s">
        <v>197</v>
      </c>
      <c r="C35" s="277"/>
      <c r="D35" s="277"/>
      <c r="E35" s="277"/>
      <c r="F35" s="277"/>
      <c r="G35" s="235" t="s">
        <v>183</v>
      </c>
      <c r="H35" s="235"/>
      <c r="I35" s="235"/>
      <c r="J35" s="235"/>
      <c r="K35" s="235"/>
      <c r="L35" s="236">
        <v>2030</v>
      </c>
      <c r="M35" s="236"/>
      <c r="N35" s="236"/>
      <c r="O35" s="236"/>
      <c r="P35" s="236"/>
      <c r="Q35" s="235">
        <v>2050</v>
      </c>
      <c r="R35" s="235"/>
      <c r="S35" s="235"/>
      <c r="T35" s="235"/>
      <c r="U35" s="235"/>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row>
    <row r="36" spans="1:53" ht="15.75" customHeight="1" x14ac:dyDescent="0.35">
      <c r="A36" s="120"/>
      <c r="B36" s="277"/>
      <c r="C36" s="277"/>
      <c r="D36" s="278"/>
      <c r="E36" s="278"/>
      <c r="F36" s="278"/>
      <c r="G36" s="168" t="s">
        <v>174</v>
      </c>
      <c r="H36" s="168" t="s">
        <v>175</v>
      </c>
      <c r="I36" s="168" t="s">
        <v>176</v>
      </c>
      <c r="J36" s="168" t="s">
        <v>177</v>
      </c>
      <c r="K36" s="168" t="s">
        <v>178</v>
      </c>
      <c r="L36" s="169" t="s">
        <v>174</v>
      </c>
      <c r="M36" s="169" t="s">
        <v>175</v>
      </c>
      <c r="N36" s="169" t="s">
        <v>176</v>
      </c>
      <c r="O36" s="169" t="s">
        <v>177</v>
      </c>
      <c r="P36" s="169" t="s">
        <v>178</v>
      </c>
      <c r="Q36" s="168" t="s">
        <v>174</v>
      </c>
      <c r="R36" s="168" t="s">
        <v>175</v>
      </c>
      <c r="S36" s="168" t="s">
        <v>176</v>
      </c>
      <c r="T36" s="168" t="s">
        <v>177</v>
      </c>
      <c r="U36" s="168" t="s">
        <v>178</v>
      </c>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row>
    <row r="37" spans="1:53" ht="15.75" customHeight="1" x14ac:dyDescent="0.35">
      <c r="A37" s="120"/>
      <c r="B37" s="245" t="s">
        <v>90</v>
      </c>
      <c r="C37" s="279"/>
      <c r="D37" s="271" t="s">
        <v>458</v>
      </c>
      <c r="E37" s="273" t="str">
        <f>IF(D15="Please select","Please select 'Functional Unit' above",D15)</f>
        <v xml:space="preserve">kWth </v>
      </c>
      <c r="F37" s="274"/>
      <c r="G37" s="92">
        <f>877.1</f>
        <v>877.1</v>
      </c>
      <c r="H37" s="101">
        <v>2770</v>
      </c>
      <c r="I37" s="101">
        <v>3030</v>
      </c>
      <c r="J37" s="101"/>
      <c r="K37" s="101"/>
      <c r="L37" s="92">
        <v>866.7</v>
      </c>
      <c r="M37" s="101">
        <v>2600</v>
      </c>
      <c r="N37" s="101">
        <v>3000</v>
      </c>
      <c r="O37" s="101"/>
      <c r="P37" s="101"/>
      <c r="Q37" s="92">
        <v>835.5</v>
      </c>
      <c r="R37" s="101">
        <v>2290</v>
      </c>
      <c r="S37" s="101">
        <v>2930</v>
      </c>
      <c r="T37" s="101"/>
      <c r="U37" s="10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row>
    <row r="38" spans="1:53" x14ac:dyDescent="0.35">
      <c r="A38" s="120"/>
      <c r="B38" s="245"/>
      <c r="C38" s="279"/>
      <c r="D38" s="272"/>
      <c r="E38" s="275"/>
      <c r="F38" s="214"/>
      <c r="G38" s="103" t="s">
        <v>180</v>
      </c>
      <c r="H38" s="102" t="s">
        <v>199</v>
      </c>
      <c r="I38" s="102" t="s">
        <v>200</v>
      </c>
      <c r="J38" s="102" t="s">
        <v>181</v>
      </c>
      <c r="K38" s="102" t="s">
        <v>181</v>
      </c>
      <c r="L38" s="102" t="s">
        <v>201</v>
      </c>
      <c r="M38" s="102" t="s">
        <v>199</v>
      </c>
      <c r="N38" s="102" t="s">
        <v>200</v>
      </c>
      <c r="O38" s="102" t="s">
        <v>181</v>
      </c>
      <c r="P38" s="102" t="s">
        <v>181</v>
      </c>
      <c r="Q38" s="102" t="s">
        <v>202</v>
      </c>
      <c r="R38" s="102" t="s">
        <v>203</v>
      </c>
      <c r="S38" s="102" t="s">
        <v>204</v>
      </c>
      <c r="T38" s="102" t="s">
        <v>181</v>
      </c>
      <c r="U38" s="102" t="s">
        <v>181</v>
      </c>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row>
    <row r="39" spans="1:53" ht="15" customHeight="1" x14ac:dyDescent="0.35">
      <c r="A39" s="120"/>
      <c r="B39" s="245" t="s">
        <v>205</v>
      </c>
      <c r="C39" s="245"/>
      <c r="D39" s="271" t="s">
        <v>458</v>
      </c>
      <c r="E39" s="273" t="str">
        <f>IF(D15="Please select","Please select 'Functional Unit' above",D15)</f>
        <v xml:space="preserve">kWth </v>
      </c>
      <c r="F39" s="274"/>
      <c r="G39" s="92">
        <v>229.5</v>
      </c>
      <c r="H39" s="101"/>
      <c r="I39" s="101"/>
      <c r="J39" s="101"/>
      <c r="K39" s="101"/>
      <c r="L39" s="92"/>
      <c r="M39" s="101"/>
      <c r="N39" s="101"/>
      <c r="O39" s="101"/>
      <c r="P39" s="101"/>
      <c r="Q39" s="92"/>
      <c r="R39" s="101"/>
      <c r="S39" s="101"/>
      <c r="T39" s="101"/>
      <c r="U39" s="10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row>
    <row r="40" spans="1:53" ht="15" customHeight="1" x14ac:dyDescent="0.35">
      <c r="A40" s="120"/>
      <c r="B40" s="245"/>
      <c r="C40" s="245"/>
      <c r="D40" s="272"/>
      <c r="E40" s="275"/>
      <c r="F40" s="214"/>
      <c r="G40" s="102"/>
      <c r="H40" s="102" t="s">
        <v>181</v>
      </c>
      <c r="I40" s="102" t="s">
        <v>181</v>
      </c>
      <c r="J40" s="102" t="s">
        <v>181</v>
      </c>
      <c r="K40" s="102" t="s">
        <v>181</v>
      </c>
      <c r="L40" s="102" t="s">
        <v>181</v>
      </c>
      <c r="M40" s="102" t="s">
        <v>181</v>
      </c>
      <c r="N40" s="102" t="s">
        <v>181</v>
      </c>
      <c r="O40" s="102" t="s">
        <v>181</v>
      </c>
      <c r="P40" s="102" t="s">
        <v>181</v>
      </c>
      <c r="Q40" s="102" t="s">
        <v>181</v>
      </c>
      <c r="R40" s="102" t="s">
        <v>181</v>
      </c>
      <c r="S40" s="102" t="s">
        <v>181</v>
      </c>
      <c r="T40" s="102" t="s">
        <v>181</v>
      </c>
      <c r="U40" s="102" t="s">
        <v>181</v>
      </c>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row>
    <row r="41" spans="1:53" ht="15.75" customHeight="1" x14ac:dyDescent="0.35">
      <c r="A41" s="120"/>
      <c r="B41" s="245" t="s">
        <v>206</v>
      </c>
      <c r="C41" s="245"/>
      <c r="D41" s="271" t="s">
        <v>458</v>
      </c>
      <c r="E41" s="273" t="str">
        <f>IF(D15="Please select","Please select 'Functional Unit' above",D15)</f>
        <v xml:space="preserve">kWth </v>
      </c>
      <c r="F41" s="274"/>
      <c r="G41" s="92">
        <v>78.900000000000006</v>
      </c>
      <c r="H41" s="101">
        <v>110.8</v>
      </c>
      <c r="I41" s="101">
        <v>121.2</v>
      </c>
      <c r="J41" s="101"/>
      <c r="K41" s="101"/>
      <c r="L41" s="92">
        <v>62.6</v>
      </c>
      <c r="M41" s="101">
        <v>104</v>
      </c>
      <c r="N41" s="101">
        <v>120</v>
      </c>
      <c r="O41" s="101"/>
      <c r="P41" s="101"/>
      <c r="Q41" s="92">
        <v>58.9</v>
      </c>
      <c r="R41" s="101">
        <v>91.6</v>
      </c>
      <c r="S41" s="101">
        <v>120</v>
      </c>
      <c r="T41" s="101"/>
      <c r="U41" s="10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row>
    <row r="42" spans="1:53" ht="15" customHeight="1" x14ac:dyDescent="0.35">
      <c r="A42" s="120"/>
      <c r="B42" s="245"/>
      <c r="C42" s="245"/>
      <c r="D42" s="272"/>
      <c r="E42" s="275"/>
      <c r="F42" s="214"/>
      <c r="G42" s="102" t="s">
        <v>180</v>
      </c>
      <c r="H42" s="102" t="s">
        <v>199</v>
      </c>
      <c r="I42" s="102" t="s">
        <v>200</v>
      </c>
      <c r="J42" s="102" t="s">
        <v>181</v>
      </c>
      <c r="K42" s="102" t="s">
        <v>181</v>
      </c>
      <c r="L42" s="102" t="s">
        <v>201</v>
      </c>
      <c r="M42" s="102" t="s">
        <v>199</v>
      </c>
      <c r="N42" s="102" t="s">
        <v>200</v>
      </c>
      <c r="O42" s="102" t="s">
        <v>181</v>
      </c>
      <c r="P42" s="102" t="s">
        <v>181</v>
      </c>
      <c r="Q42" s="102" t="s">
        <v>202</v>
      </c>
      <c r="R42" s="102" t="s">
        <v>203</v>
      </c>
      <c r="S42" s="102" t="s">
        <v>204</v>
      </c>
      <c r="T42" s="102" t="s">
        <v>181</v>
      </c>
      <c r="U42" s="102" t="s">
        <v>181</v>
      </c>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row>
    <row r="43" spans="1:53" ht="15.75" customHeight="1" x14ac:dyDescent="0.35">
      <c r="A43" s="120"/>
      <c r="B43" s="245" t="s">
        <v>207</v>
      </c>
      <c r="C43" s="245"/>
      <c r="D43" s="271" t="s">
        <v>458</v>
      </c>
      <c r="E43" s="273" t="str">
        <f>IF(D15="Please select","Please select 'Functional Unit' above",D15)</f>
        <v xml:space="preserve">kWth </v>
      </c>
      <c r="F43" s="274"/>
      <c r="G43" s="92">
        <v>12.7</v>
      </c>
      <c r="H43" s="101"/>
      <c r="I43" s="101"/>
      <c r="J43" s="101"/>
      <c r="K43" s="101"/>
      <c r="L43" s="92">
        <v>12.7</v>
      </c>
      <c r="M43" s="101"/>
      <c r="N43" s="101"/>
      <c r="O43" s="101"/>
      <c r="P43" s="101"/>
      <c r="Q43" s="92">
        <v>12.7</v>
      </c>
      <c r="R43" s="101"/>
      <c r="S43" s="101"/>
      <c r="T43" s="101"/>
      <c r="U43" s="10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row>
    <row r="44" spans="1:53" ht="15" customHeight="1" x14ac:dyDescent="0.35">
      <c r="A44" s="120"/>
      <c r="B44" s="245"/>
      <c r="C44" s="245"/>
      <c r="D44" s="272"/>
      <c r="E44" s="275"/>
      <c r="F44" s="214"/>
      <c r="G44" s="102" t="s">
        <v>208</v>
      </c>
      <c r="H44" s="102" t="s">
        <v>181</v>
      </c>
      <c r="I44" s="102" t="s">
        <v>181</v>
      </c>
      <c r="J44" s="102" t="s">
        <v>181</v>
      </c>
      <c r="K44" s="102" t="s">
        <v>181</v>
      </c>
      <c r="L44" s="102" t="s">
        <v>208</v>
      </c>
      <c r="M44" s="102" t="s">
        <v>181</v>
      </c>
      <c r="N44" s="102" t="s">
        <v>181</v>
      </c>
      <c r="O44" s="102" t="s">
        <v>181</v>
      </c>
      <c r="P44" s="102" t="s">
        <v>181</v>
      </c>
      <c r="Q44" s="102" t="str">
        <f>L44</f>
        <v xml:space="preserve">SDE+ </v>
      </c>
      <c r="R44" s="102" t="s">
        <v>181</v>
      </c>
      <c r="S44" s="102" t="s">
        <v>181</v>
      </c>
      <c r="T44" s="102" t="s">
        <v>181</v>
      </c>
      <c r="U44" s="102" t="s">
        <v>181</v>
      </c>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row>
    <row r="45" spans="1:53" ht="87" x14ac:dyDescent="0.35">
      <c r="A45" s="120"/>
      <c r="B45" s="276" t="s">
        <v>209</v>
      </c>
      <c r="C45" s="276"/>
      <c r="D45" s="252" t="s">
        <v>459</v>
      </c>
      <c r="E45" s="252"/>
      <c r="F45" s="252"/>
      <c r="G45" s="252"/>
      <c r="H45" s="252"/>
      <c r="I45" s="252"/>
      <c r="J45" s="252"/>
      <c r="K45" s="252"/>
      <c r="L45" s="252"/>
      <c r="M45" s="252"/>
      <c r="N45" s="252"/>
      <c r="O45" s="252"/>
      <c r="P45" s="252"/>
      <c r="Q45" s="252"/>
      <c r="R45" s="252"/>
      <c r="S45" s="252"/>
      <c r="T45" s="252"/>
      <c r="U45" s="252"/>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BA45" s="107" t="str">
        <f>D45</f>
        <v xml:space="preserve">kWth refers to kWth input. The costs data are converted to 2015 as they were from 2018. 
Potential cost reductions are based on the  ETRI database. ETRI indicates cost reduction for anaerobic digestion installations  to be in the range of 2,1%-0,5% per year for the first 5 years and 0,1-0,6% per year for the following years. We apply the baseline cost reduction rates of ETRI. 
It is important to highlight that ETRI neither distinguishes between different digestion options nor explains how the CAPEX were determined. Therefore it is not possible to clarify why this dataset presents higher figures.  Next to that they only refer to anaerobic digestion related CAPEX and OPEX, whereas SDE+ data also include cost of a gas motor. Therefore a direct comparison of the datasets are not possible. </v>
      </c>
    </row>
    <row r="46" spans="1:53" ht="21" customHeight="1" x14ac:dyDescent="0.35">
      <c r="A46" s="120"/>
      <c r="B46" s="253" t="s">
        <v>104</v>
      </c>
      <c r="C46" s="253"/>
      <c r="D46" s="253"/>
      <c r="E46" s="253"/>
      <c r="F46" s="253"/>
      <c r="G46" s="253"/>
      <c r="H46" s="253"/>
      <c r="I46" s="253"/>
      <c r="J46" s="253"/>
      <c r="K46" s="253"/>
      <c r="L46" s="253"/>
      <c r="M46" s="253"/>
      <c r="N46" s="253"/>
      <c r="O46" s="253"/>
      <c r="P46" s="253"/>
      <c r="Q46" s="253"/>
      <c r="R46" s="253"/>
      <c r="S46" s="253"/>
      <c r="T46" s="253"/>
      <c r="U46" s="253"/>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row>
    <row r="47" spans="1:53" ht="15.75" customHeight="1" x14ac:dyDescent="0.35">
      <c r="A47" s="120"/>
      <c r="B47" s="267" t="s">
        <v>211</v>
      </c>
      <c r="C47" s="268"/>
      <c r="D47" s="250" t="s">
        <v>212</v>
      </c>
      <c r="E47" s="250"/>
      <c r="F47" s="250" t="s">
        <v>213</v>
      </c>
      <c r="G47" s="235" t="s">
        <v>183</v>
      </c>
      <c r="H47" s="235"/>
      <c r="I47" s="235"/>
      <c r="J47" s="235"/>
      <c r="K47" s="235"/>
      <c r="L47" s="236">
        <v>2030</v>
      </c>
      <c r="M47" s="236"/>
      <c r="N47" s="236"/>
      <c r="O47" s="236"/>
      <c r="P47" s="236"/>
      <c r="Q47" s="235">
        <v>2050</v>
      </c>
      <c r="R47" s="235"/>
      <c r="S47" s="235"/>
      <c r="T47" s="235"/>
      <c r="U47" s="235"/>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row>
    <row r="48" spans="1:53" x14ac:dyDescent="0.35">
      <c r="A48" s="120"/>
      <c r="B48" s="269"/>
      <c r="C48" s="270"/>
      <c r="D48" s="250"/>
      <c r="E48" s="250"/>
      <c r="F48" s="250"/>
      <c r="G48" s="168" t="s">
        <v>174</v>
      </c>
      <c r="H48" s="168" t="s">
        <v>175</v>
      </c>
      <c r="I48" s="168" t="s">
        <v>176</v>
      </c>
      <c r="J48" s="168" t="s">
        <v>177</v>
      </c>
      <c r="K48" s="168" t="s">
        <v>178</v>
      </c>
      <c r="L48" s="169" t="s">
        <v>174</v>
      </c>
      <c r="M48" s="169" t="s">
        <v>175</v>
      </c>
      <c r="N48" s="169" t="s">
        <v>176</v>
      </c>
      <c r="O48" s="169" t="s">
        <v>177</v>
      </c>
      <c r="P48" s="169" t="s">
        <v>178</v>
      </c>
      <c r="Q48" s="168" t="s">
        <v>174</v>
      </c>
      <c r="R48" s="168" t="s">
        <v>175</v>
      </c>
      <c r="S48" s="168" t="s">
        <v>176</v>
      </c>
      <c r="T48" s="168" t="s">
        <v>177</v>
      </c>
      <c r="U48" s="168" t="s">
        <v>178</v>
      </c>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row>
    <row r="49" spans="1:53" ht="15.75" customHeight="1" x14ac:dyDescent="0.35">
      <c r="A49" s="120"/>
      <c r="B49" s="223" t="s">
        <v>214</v>
      </c>
      <c r="C49" s="224"/>
      <c r="D49" s="243" t="s">
        <v>215</v>
      </c>
      <c r="E49" s="243"/>
      <c r="F49" s="262" t="s">
        <v>140</v>
      </c>
      <c r="G49" s="92">
        <v>-0.41</v>
      </c>
      <c r="H49" s="101"/>
      <c r="I49" s="101"/>
      <c r="J49" s="101"/>
      <c r="K49" s="101"/>
      <c r="L49" s="92"/>
      <c r="M49" s="101"/>
      <c r="N49" s="101"/>
      <c r="O49" s="101"/>
      <c r="P49" s="101"/>
      <c r="Q49" s="92"/>
      <c r="R49" s="101"/>
      <c r="S49" s="101"/>
      <c r="T49" s="101"/>
      <c r="U49" s="10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row>
    <row r="50" spans="1:53" x14ac:dyDescent="0.35">
      <c r="A50" s="120"/>
      <c r="B50" s="225"/>
      <c r="C50" s="226"/>
      <c r="D50" s="243"/>
      <c r="E50" s="243"/>
      <c r="F50" s="262"/>
      <c r="G50" s="103" t="s">
        <v>180</v>
      </c>
      <c r="H50" s="102" t="s">
        <v>181</v>
      </c>
      <c r="I50" s="102" t="s">
        <v>181</v>
      </c>
      <c r="J50" s="102" t="s">
        <v>181</v>
      </c>
      <c r="K50" s="102" t="s">
        <v>181</v>
      </c>
      <c r="L50" s="103" t="s">
        <v>181</v>
      </c>
      <c r="M50" s="102" t="s">
        <v>181</v>
      </c>
      <c r="N50" s="102" t="s">
        <v>181</v>
      </c>
      <c r="O50" s="102" t="s">
        <v>181</v>
      </c>
      <c r="P50" s="102" t="s">
        <v>181</v>
      </c>
      <c r="Q50" s="103" t="s">
        <v>181</v>
      </c>
      <c r="R50" s="102" t="s">
        <v>181</v>
      </c>
      <c r="S50" s="102" t="s">
        <v>181</v>
      </c>
      <c r="T50" s="102" t="s">
        <v>181</v>
      </c>
      <c r="U50" s="102" t="s">
        <v>181</v>
      </c>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row>
    <row r="51" spans="1:53" ht="15" customHeight="1" x14ac:dyDescent="0.35">
      <c r="A51" s="120"/>
      <c r="B51" s="225"/>
      <c r="C51" s="226"/>
      <c r="D51" s="263" t="s">
        <v>216</v>
      </c>
      <c r="E51" s="264"/>
      <c r="F51" s="262" t="s">
        <v>140</v>
      </c>
      <c r="G51" s="92">
        <v>-0.44</v>
      </c>
      <c r="H51" s="101"/>
      <c r="I51" s="101"/>
      <c r="J51" s="101"/>
      <c r="K51" s="101"/>
      <c r="L51" s="92"/>
      <c r="M51" s="101"/>
      <c r="N51" s="101"/>
      <c r="O51" s="101"/>
      <c r="P51" s="101"/>
      <c r="Q51" s="92"/>
      <c r="R51" s="101"/>
      <c r="S51" s="101"/>
      <c r="T51" s="101"/>
      <c r="U51" s="10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row>
    <row r="52" spans="1:53" x14ac:dyDescent="0.35">
      <c r="A52" s="120"/>
      <c r="B52" s="225"/>
      <c r="C52" s="226"/>
      <c r="D52" s="265"/>
      <c r="E52" s="266"/>
      <c r="F52" s="262"/>
      <c r="G52" s="102" t="s">
        <v>180</v>
      </c>
      <c r="H52" s="102" t="s">
        <v>181</v>
      </c>
      <c r="I52" s="102" t="s">
        <v>181</v>
      </c>
      <c r="J52" s="102" t="s">
        <v>181</v>
      </c>
      <c r="K52" s="102" t="s">
        <v>181</v>
      </c>
      <c r="L52" s="102" t="s">
        <v>181</v>
      </c>
      <c r="M52" s="102" t="s">
        <v>181</v>
      </c>
      <c r="N52" s="102" t="s">
        <v>181</v>
      </c>
      <c r="O52" s="102" t="s">
        <v>181</v>
      </c>
      <c r="P52" s="102" t="s">
        <v>181</v>
      </c>
      <c r="Q52" s="102" t="s">
        <v>181</v>
      </c>
      <c r="R52" s="102" t="s">
        <v>181</v>
      </c>
      <c r="S52" s="102" t="s">
        <v>181</v>
      </c>
      <c r="T52" s="102" t="s">
        <v>181</v>
      </c>
      <c r="U52" s="102" t="s">
        <v>181</v>
      </c>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row>
    <row r="53" spans="1:53" x14ac:dyDescent="0.35">
      <c r="A53" s="120"/>
      <c r="B53" s="225"/>
      <c r="C53" s="226"/>
      <c r="D53" s="243" t="s">
        <v>217</v>
      </c>
      <c r="E53" s="243"/>
      <c r="F53" s="262" t="s">
        <v>140</v>
      </c>
      <c r="G53" s="92">
        <v>1</v>
      </c>
      <c r="H53" s="101"/>
      <c r="I53" s="101"/>
      <c r="J53" s="101"/>
      <c r="K53" s="101"/>
      <c r="L53" s="92"/>
      <c r="M53" s="101"/>
      <c r="N53" s="101"/>
      <c r="O53" s="101"/>
      <c r="P53" s="101"/>
      <c r="Q53" s="92"/>
      <c r="R53" s="101"/>
      <c r="S53" s="101"/>
      <c r="T53" s="101"/>
      <c r="U53" s="10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row>
    <row r="54" spans="1:53" x14ac:dyDescent="0.35">
      <c r="A54" s="120"/>
      <c r="B54" s="225"/>
      <c r="C54" s="226"/>
      <c r="D54" s="243"/>
      <c r="E54" s="243"/>
      <c r="F54" s="262"/>
      <c r="G54" s="102" t="s">
        <v>180</v>
      </c>
      <c r="H54" s="102" t="s">
        <v>181</v>
      </c>
      <c r="I54" s="102" t="s">
        <v>181</v>
      </c>
      <c r="J54" s="102" t="s">
        <v>181</v>
      </c>
      <c r="K54" s="102" t="s">
        <v>181</v>
      </c>
      <c r="L54" s="102" t="s">
        <v>181</v>
      </c>
      <c r="M54" s="102" t="s">
        <v>181</v>
      </c>
      <c r="N54" s="102" t="s">
        <v>181</v>
      </c>
      <c r="O54" s="102" t="s">
        <v>181</v>
      </c>
      <c r="P54" s="102" t="s">
        <v>181</v>
      </c>
      <c r="Q54" s="102" t="s">
        <v>181</v>
      </c>
      <c r="R54" s="102" t="s">
        <v>181</v>
      </c>
      <c r="S54" s="102" t="s">
        <v>181</v>
      </c>
      <c r="T54" s="102" t="s">
        <v>181</v>
      </c>
      <c r="U54" s="102" t="s">
        <v>181</v>
      </c>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row>
    <row r="55" spans="1:53" x14ac:dyDescent="0.35">
      <c r="A55" s="120"/>
      <c r="B55" s="225"/>
      <c r="C55" s="226"/>
      <c r="D55" s="243" t="s">
        <v>215</v>
      </c>
      <c r="E55" s="243"/>
      <c r="F55" s="262" t="s">
        <v>140</v>
      </c>
      <c r="G55" s="92">
        <v>0.02</v>
      </c>
      <c r="H55" s="101"/>
      <c r="I55" s="101"/>
      <c r="J55" s="101"/>
      <c r="K55" s="101"/>
      <c r="L55" s="92"/>
      <c r="M55" s="101"/>
      <c r="N55" s="101"/>
      <c r="O55" s="101"/>
      <c r="P55" s="101"/>
      <c r="Q55" s="92"/>
      <c r="R55" s="101"/>
      <c r="S55" s="101"/>
      <c r="T55" s="101"/>
      <c r="U55" s="10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row>
    <row r="56" spans="1:53" x14ac:dyDescent="0.35">
      <c r="A56" s="120"/>
      <c r="B56" s="227"/>
      <c r="C56" s="228"/>
      <c r="D56" s="243"/>
      <c r="E56" s="243"/>
      <c r="F56" s="262"/>
      <c r="G56" s="102" t="s">
        <v>181</v>
      </c>
      <c r="H56" s="102" t="s">
        <v>181</v>
      </c>
      <c r="I56" s="102" t="s">
        <v>181</v>
      </c>
      <c r="J56" s="102" t="s">
        <v>181</v>
      </c>
      <c r="K56" s="102" t="s">
        <v>181</v>
      </c>
      <c r="L56" s="102" t="s">
        <v>181</v>
      </c>
      <c r="M56" s="102" t="s">
        <v>181</v>
      </c>
      <c r="N56" s="102" t="s">
        <v>181</v>
      </c>
      <c r="O56" s="102" t="s">
        <v>181</v>
      </c>
      <c r="P56" s="102" t="s">
        <v>181</v>
      </c>
      <c r="Q56" s="102" t="s">
        <v>181</v>
      </c>
      <c r="R56" s="102" t="s">
        <v>181</v>
      </c>
      <c r="S56" s="102" t="s">
        <v>181</v>
      </c>
      <c r="T56" s="102" t="s">
        <v>181</v>
      </c>
      <c r="U56" s="102" t="s">
        <v>181</v>
      </c>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row>
    <row r="57" spans="1:53" ht="24" customHeight="1" x14ac:dyDescent="0.35">
      <c r="A57" s="120"/>
      <c r="B57" s="245" t="s">
        <v>218</v>
      </c>
      <c r="C57" s="245"/>
      <c r="D57" s="252" t="s">
        <v>219</v>
      </c>
      <c r="E57" s="252"/>
      <c r="F57" s="252"/>
      <c r="G57" s="252"/>
      <c r="H57" s="252"/>
      <c r="I57" s="252"/>
      <c r="J57" s="252"/>
      <c r="K57" s="252"/>
      <c r="L57" s="252"/>
      <c r="M57" s="252"/>
      <c r="N57" s="252"/>
      <c r="O57" s="252"/>
      <c r="P57" s="252"/>
      <c r="Q57" s="252"/>
      <c r="R57" s="252"/>
      <c r="S57" s="252"/>
      <c r="T57" s="252"/>
      <c r="U57" s="252"/>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BA57" s="107" t="str">
        <f>D57</f>
        <v>In SDE+ the generic energy content of the wet biomass is assumed as 3,4 GJ/ton. Roughly 5% of biogas is used to meet the internal heat demand. The electricity demand refers to the electricity needed for the digestion process.</v>
      </c>
    </row>
    <row r="58" spans="1:53" ht="21" customHeight="1" x14ac:dyDescent="0.35">
      <c r="A58" s="120"/>
      <c r="B58" s="254" t="s">
        <v>220</v>
      </c>
      <c r="C58" s="255"/>
      <c r="D58" s="255"/>
      <c r="E58" s="255"/>
      <c r="F58" s="255"/>
      <c r="G58" s="255"/>
      <c r="H58" s="255"/>
      <c r="I58" s="255"/>
      <c r="J58" s="255"/>
      <c r="K58" s="255"/>
      <c r="L58" s="255"/>
      <c r="M58" s="255"/>
      <c r="N58" s="255"/>
      <c r="O58" s="255"/>
      <c r="P58" s="255"/>
      <c r="Q58" s="255"/>
      <c r="R58" s="255"/>
      <c r="S58" s="255"/>
      <c r="T58" s="255"/>
      <c r="U58" s="255"/>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row>
    <row r="59" spans="1:53" ht="16.5" customHeight="1" x14ac:dyDescent="0.35">
      <c r="A59" s="120"/>
      <c r="B59" s="223" t="s">
        <v>221</v>
      </c>
      <c r="C59" s="224"/>
      <c r="D59" s="256" t="s">
        <v>222</v>
      </c>
      <c r="E59" s="257"/>
      <c r="F59" s="260" t="s">
        <v>213</v>
      </c>
      <c r="G59" s="235" t="s">
        <v>183</v>
      </c>
      <c r="H59" s="235"/>
      <c r="I59" s="235"/>
      <c r="J59" s="235"/>
      <c r="K59" s="235"/>
      <c r="L59" s="236">
        <v>2030</v>
      </c>
      <c r="M59" s="236"/>
      <c r="N59" s="236"/>
      <c r="O59" s="236"/>
      <c r="P59" s="236"/>
      <c r="Q59" s="235">
        <v>2050</v>
      </c>
      <c r="R59" s="235"/>
      <c r="S59" s="235"/>
      <c r="T59" s="235"/>
      <c r="U59" s="235"/>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row>
    <row r="60" spans="1:53" x14ac:dyDescent="0.35">
      <c r="A60" s="120"/>
      <c r="B60" s="225"/>
      <c r="C60" s="226"/>
      <c r="D60" s="258"/>
      <c r="E60" s="259"/>
      <c r="F60" s="261"/>
      <c r="G60" s="168" t="s">
        <v>174</v>
      </c>
      <c r="H60" s="168" t="s">
        <v>175</v>
      </c>
      <c r="I60" s="168" t="s">
        <v>176</v>
      </c>
      <c r="J60" s="168" t="s">
        <v>177</v>
      </c>
      <c r="K60" s="168" t="s">
        <v>178</v>
      </c>
      <c r="L60" s="169" t="s">
        <v>174</v>
      </c>
      <c r="M60" s="169" t="s">
        <v>175</v>
      </c>
      <c r="N60" s="169" t="s">
        <v>176</v>
      </c>
      <c r="O60" s="169" t="s">
        <v>177</v>
      </c>
      <c r="P60" s="169" t="s">
        <v>178</v>
      </c>
      <c r="Q60" s="168" t="s">
        <v>174</v>
      </c>
      <c r="R60" s="168" t="s">
        <v>175</v>
      </c>
      <c r="S60" s="168" t="s">
        <v>176</v>
      </c>
      <c r="T60" s="168" t="s">
        <v>177</v>
      </c>
      <c r="U60" s="168" t="s">
        <v>178</v>
      </c>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row>
    <row r="61" spans="1:53" ht="15.75" customHeight="1" x14ac:dyDescent="0.35">
      <c r="A61" s="120"/>
      <c r="B61" s="225"/>
      <c r="C61" s="226"/>
      <c r="D61" s="243" t="s">
        <v>223</v>
      </c>
      <c r="E61" s="243"/>
      <c r="F61" s="251" t="s">
        <v>224</v>
      </c>
      <c r="G61" s="160">
        <v>0.8</v>
      </c>
      <c r="H61" s="101"/>
      <c r="I61" s="101"/>
      <c r="J61" s="101"/>
      <c r="K61" s="101"/>
      <c r="L61" s="92"/>
      <c r="M61" s="101"/>
      <c r="N61" s="101"/>
      <c r="O61" s="101"/>
      <c r="P61" s="101"/>
      <c r="Q61" s="92"/>
      <c r="R61" s="101"/>
      <c r="S61" s="101"/>
      <c r="T61" s="101"/>
      <c r="U61" s="10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row>
    <row r="62" spans="1:53" x14ac:dyDescent="0.35">
      <c r="A62" s="120"/>
      <c r="B62" s="225"/>
      <c r="C62" s="226"/>
      <c r="D62" s="243"/>
      <c r="E62" s="243"/>
      <c r="F62" s="251"/>
      <c r="G62" s="103" t="s">
        <v>181</v>
      </c>
      <c r="H62" s="102" t="s">
        <v>181</v>
      </c>
      <c r="I62" s="102" t="s">
        <v>181</v>
      </c>
      <c r="J62" s="102" t="s">
        <v>181</v>
      </c>
      <c r="K62" s="102" t="s">
        <v>181</v>
      </c>
      <c r="L62" s="103" t="s">
        <v>181</v>
      </c>
      <c r="M62" s="102" t="s">
        <v>181</v>
      </c>
      <c r="N62" s="102" t="s">
        <v>181</v>
      </c>
      <c r="O62" s="102" t="s">
        <v>181</v>
      </c>
      <c r="P62" s="102" t="s">
        <v>181</v>
      </c>
      <c r="Q62" s="103" t="s">
        <v>181</v>
      </c>
      <c r="R62" s="102" t="s">
        <v>181</v>
      </c>
      <c r="S62" s="102" t="s">
        <v>181</v>
      </c>
      <c r="T62" s="102" t="s">
        <v>181</v>
      </c>
      <c r="U62" s="102" t="s">
        <v>181</v>
      </c>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row>
    <row r="63" spans="1:53" x14ac:dyDescent="0.35">
      <c r="A63" s="120"/>
      <c r="B63" s="225"/>
      <c r="C63" s="226"/>
      <c r="D63" s="243" t="s">
        <v>193</v>
      </c>
      <c r="E63" s="243"/>
      <c r="F63" s="251" t="s">
        <v>193</v>
      </c>
      <c r="G63" s="92"/>
      <c r="H63" s="101"/>
      <c r="I63" s="101"/>
      <c r="J63" s="101"/>
      <c r="K63" s="101"/>
      <c r="L63" s="92"/>
      <c r="M63" s="101"/>
      <c r="N63" s="101"/>
      <c r="O63" s="101"/>
      <c r="P63" s="101"/>
      <c r="Q63" s="92"/>
      <c r="R63" s="101"/>
      <c r="S63" s="101"/>
      <c r="T63" s="101"/>
      <c r="U63" s="10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row>
    <row r="64" spans="1:53" x14ac:dyDescent="0.35">
      <c r="A64" s="120"/>
      <c r="B64" s="227"/>
      <c r="C64" s="228"/>
      <c r="D64" s="243"/>
      <c r="E64" s="243"/>
      <c r="F64" s="251"/>
      <c r="G64" s="102" t="s">
        <v>181</v>
      </c>
      <c r="H64" s="102" t="s">
        <v>181</v>
      </c>
      <c r="I64" s="102" t="s">
        <v>181</v>
      </c>
      <c r="J64" s="102" t="s">
        <v>181</v>
      </c>
      <c r="K64" s="102" t="s">
        <v>181</v>
      </c>
      <c r="L64" s="102" t="s">
        <v>181</v>
      </c>
      <c r="M64" s="102" t="s">
        <v>181</v>
      </c>
      <c r="N64" s="102" t="s">
        <v>181</v>
      </c>
      <c r="O64" s="102" t="s">
        <v>181</v>
      </c>
      <c r="P64" s="102" t="s">
        <v>181</v>
      </c>
      <c r="Q64" s="102" t="s">
        <v>181</v>
      </c>
      <c r="R64" s="102" t="s">
        <v>181</v>
      </c>
      <c r="S64" s="102" t="s">
        <v>181</v>
      </c>
      <c r="T64" s="102" t="s">
        <v>181</v>
      </c>
      <c r="U64" s="102" t="s">
        <v>181</v>
      </c>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row>
    <row r="65" spans="1:53" ht="69" customHeight="1" x14ac:dyDescent="0.35">
      <c r="A65" s="120"/>
      <c r="B65" s="245" t="s">
        <v>225</v>
      </c>
      <c r="C65" s="245"/>
      <c r="D65" s="252" t="s">
        <v>226</v>
      </c>
      <c r="E65" s="252"/>
      <c r="F65" s="252"/>
      <c r="G65" s="252"/>
      <c r="H65" s="252"/>
      <c r="I65" s="252"/>
      <c r="J65" s="252"/>
      <c r="K65" s="252"/>
      <c r="L65" s="252"/>
      <c r="M65" s="252"/>
      <c r="N65" s="252"/>
      <c r="O65" s="252"/>
      <c r="P65" s="252"/>
      <c r="Q65" s="252"/>
      <c r="R65" s="252"/>
      <c r="S65" s="252"/>
      <c r="T65" s="252"/>
      <c r="U65" s="252"/>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BA65" s="107" t="str">
        <f>D65</f>
        <v>Digestate can be: 
1) Composted in case the input stream consists of GFT (vegetables, fruit and garden waste) and sold to be used on agricultural land when it complies with the conditions of the Fertilizer Act. It should include no animal manure to be classified as compost.
2) Further treated in case the waste stream is organic waste. The digestate treatment mainly consists of dewatering, drying and storage. The dried product can further be pelletized and become suitable as fuel (for instance for co-firing plant). An indicative price for this fuel can be around 35 Euro/ton.</v>
      </c>
    </row>
    <row r="66" spans="1:53" ht="21" customHeight="1" x14ac:dyDescent="0.35">
      <c r="A66" s="120"/>
      <c r="B66" s="253" t="s">
        <v>227</v>
      </c>
      <c r="C66" s="253"/>
      <c r="D66" s="253"/>
      <c r="E66" s="253"/>
      <c r="F66" s="253"/>
      <c r="G66" s="253"/>
      <c r="H66" s="253"/>
      <c r="I66" s="253"/>
      <c r="J66" s="253"/>
      <c r="K66" s="253"/>
      <c r="L66" s="253"/>
      <c r="M66" s="253"/>
      <c r="N66" s="253"/>
      <c r="O66" s="253"/>
      <c r="P66" s="253"/>
      <c r="Q66" s="253"/>
      <c r="R66" s="253"/>
      <c r="S66" s="253"/>
      <c r="T66" s="253"/>
      <c r="U66" s="253"/>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row>
    <row r="67" spans="1:53" ht="16.5" customHeight="1" x14ac:dyDescent="0.35">
      <c r="A67" s="120"/>
      <c r="B67" s="249" t="s">
        <v>116</v>
      </c>
      <c r="C67" s="249"/>
      <c r="D67" s="250" t="s">
        <v>228</v>
      </c>
      <c r="E67" s="250"/>
      <c r="F67" s="250" t="s">
        <v>213</v>
      </c>
      <c r="G67" s="235" t="s">
        <v>183</v>
      </c>
      <c r="H67" s="235"/>
      <c r="I67" s="235"/>
      <c r="J67" s="235"/>
      <c r="K67" s="235"/>
      <c r="L67" s="236">
        <v>2030</v>
      </c>
      <c r="M67" s="236"/>
      <c r="N67" s="236"/>
      <c r="O67" s="236"/>
      <c r="P67" s="236"/>
      <c r="Q67" s="235">
        <v>2050</v>
      </c>
      <c r="R67" s="235"/>
      <c r="S67" s="235"/>
      <c r="T67" s="235"/>
      <c r="U67" s="235"/>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row>
    <row r="68" spans="1:53" ht="15.75" customHeight="1" x14ac:dyDescent="0.35">
      <c r="A68" s="120"/>
      <c r="B68" s="249"/>
      <c r="C68" s="249"/>
      <c r="D68" s="250"/>
      <c r="E68" s="250"/>
      <c r="F68" s="250"/>
      <c r="G68" s="168" t="s">
        <v>174</v>
      </c>
      <c r="H68" s="168" t="s">
        <v>175</v>
      </c>
      <c r="I68" s="168" t="s">
        <v>176</v>
      </c>
      <c r="J68" s="168" t="s">
        <v>177</v>
      </c>
      <c r="K68" s="168" t="s">
        <v>178</v>
      </c>
      <c r="L68" s="169" t="s">
        <v>174</v>
      </c>
      <c r="M68" s="169" t="s">
        <v>175</v>
      </c>
      <c r="N68" s="169" t="s">
        <v>176</v>
      </c>
      <c r="O68" s="169" t="s">
        <v>177</v>
      </c>
      <c r="P68" s="169" t="s">
        <v>178</v>
      </c>
      <c r="Q68" s="168" t="s">
        <v>174</v>
      </c>
      <c r="R68" s="168" t="s">
        <v>175</v>
      </c>
      <c r="S68" s="168" t="s">
        <v>176</v>
      </c>
      <c r="T68" s="168" t="s">
        <v>177</v>
      </c>
      <c r="U68" s="168" t="s">
        <v>178</v>
      </c>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row>
    <row r="69" spans="1:53" ht="15.75" customHeight="1" x14ac:dyDescent="0.35">
      <c r="A69" s="120"/>
      <c r="B69" s="249"/>
      <c r="C69" s="249"/>
      <c r="D69" s="243" t="s">
        <v>192</v>
      </c>
      <c r="E69" s="243"/>
      <c r="F69" s="244" t="s">
        <v>192</v>
      </c>
      <c r="G69" s="92"/>
      <c r="H69" s="101"/>
      <c r="I69" s="101"/>
      <c r="J69" s="101"/>
      <c r="K69" s="101"/>
      <c r="L69" s="92"/>
      <c r="M69" s="101"/>
      <c r="N69" s="101"/>
      <c r="O69" s="101"/>
      <c r="P69" s="101"/>
      <c r="Q69" s="92"/>
      <c r="R69" s="101"/>
      <c r="S69" s="101"/>
      <c r="T69" s="101"/>
      <c r="U69" s="10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row>
    <row r="70" spans="1:53" ht="15.75" customHeight="1" x14ac:dyDescent="0.35">
      <c r="A70" s="120"/>
      <c r="B70" s="249"/>
      <c r="C70" s="249"/>
      <c r="D70" s="243"/>
      <c r="E70" s="243"/>
      <c r="F70" s="244"/>
      <c r="G70" s="103" t="s">
        <v>181</v>
      </c>
      <c r="H70" s="102" t="s">
        <v>181</v>
      </c>
      <c r="I70" s="102" t="s">
        <v>181</v>
      </c>
      <c r="J70" s="102" t="s">
        <v>181</v>
      </c>
      <c r="K70" s="102" t="s">
        <v>181</v>
      </c>
      <c r="L70" s="103" t="s">
        <v>181</v>
      </c>
      <c r="M70" s="102" t="s">
        <v>181</v>
      </c>
      <c r="N70" s="102" t="s">
        <v>181</v>
      </c>
      <c r="O70" s="102" t="s">
        <v>181</v>
      </c>
      <c r="P70" s="102" t="s">
        <v>181</v>
      </c>
      <c r="Q70" s="103" t="s">
        <v>181</v>
      </c>
      <c r="R70" s="102" t="s">
        <v>181</v>
      </c>
      <c r="S70" s="102" t="s">
        <v>181</v>
      </c>
      <c r="T70" s="102" t="s">
        <v>181</v>
      </c>
      <c r="U70" s="102" t="s">
        <v>181</v>
      </c>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row>
    <row r="71" spans="1:53" ht="15.75" customHeight="1" x14ac:dyDescent="0.35">
      <c r="A71" s="120"/>
      <c r="B71" s="249"/>
      <c r="C71" s="249"/>
      <c r="D71" s="243" t="s">
        <v>192</v>
      </c>
      <c r="E71" s="243"/>
      <c r="F71" s="244" t="s">
        <v>192</v>
      </c>
      <c r="G71" s="92"/>
      <c r="H71" s="101"/>
      <c r="I71" s="101"/>
      <c r="J71" s="101"/>
      <c r="K71" s="101"/>
      <c r="L71" s="92"/>
      <c r="M71" s="101"/>
      <c r="N71" s="101"/>
      <c r="O71" s="101"/>
      <c r="P71" s="101"/>
      <c r="Q71" s="92"/>
      <c r="R71" s="101"/>
      <c r="S71" s="101"/>
      <c r="T71" s="101"/>
      <c r="U71" s="10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row>
    <row r="72" spans="1:53" ht="15.75" customHeight="1" x14ac:dyDescent="0.35">
      <c r="A72" s="120"/>
      <c r="B72" s="249"/>
      <c r="C72" s="249"/>
      <c r="D72" s="243"/>
      <c r="E72" s="243"/>
      <c r="F72" s="244"/>
      <c r="G72" s="102" t="s">
        <v>181</v>
      </c>
      <c r="H72" s="102" t="s">
        <v>181</v>
      </c>
      <c r="I72" s="102" t="s">
        <v>181</v>
      </c>
      <c r="J72" s="102" t="s">
        <v>181</v>
      </c>
      <c r="K72" s="102" t="s">
        <v>181</v>
      </c>
      <c r="L72" s="102" t="s">
        <v>181</v>
      </c>
      <c r="M72" s="102" t="s">
        <v>181</v>
      </c>
      <c r="N72" s="102" t="s">
        <v>181</v>
      </c>
      <c r="O72" s="102" t="s">
        <v>181</v>
      </c>
      <c r="P72" s="102" t="s">
        <v>181</v>
      </c>
      <c r="Q72" s="102" t="s">
        <v>181</v>
      </c>
      <c r="R72" s="102" t="s">
        <v>181</v>
      </c>
      <c r="S72" s="102" t="s">
        <v>181</v>
      </c>
      <c r="T72" s="102" t="s">
        <v>181</v>
      </c>
      <c r="U72" s="102" t="s">
        <v>181</v>
      </c>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row>
    <row r="73" spans="1:53" ht="15.75" customHeight="1" x14ac:dyDescent="0.35">
      <c r="A73" s="120"/>
      <c r="B73" s="249"/>
      <c r="C73" s="249"/>
      <c r="D73" s="243" t="s">
        <v>192</v>
      </c>
      <c r="E73" s="243"/>
      <c r="F73" s="244" t="s">
        <v>192</v>
      </c>
      <c r="G73" s="92"/>
      <c r="H73" s="101"/>
      <c r="I73" s="101"/>
      <c r="J73" s="101"/>
      <c r="K73" s="101"/>
      <c r="L73" s="92"/>
      <c r="M73" s="101"/>
      <c r="N73" s="101"/>
      <c r="O73" s="101"/>
      <c r="P73" s="101"/>
      <c r="Q73" s="92"/>
      <c r="R73" s="101"/>
      <c r="S73" s="101"/>
      <c r="T73" s="101"/>
      <c r="U73" s="10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row>
    <row r="74" spans="1:53" ht="15.75" customHeight="1" x14ac:dyDescent="0.35">
      <c r="A74" s="120"/>
      <c r="B74" s="249"/>
      <c r="C74" s="249"/>
      <c r="D74" s="243"/>
      <c r="E74" s="243"/>
      <c r="F74" s="244"/>
      <c r="G74" s="102" t="s">
        <v>181</v>
      </c>
      <c r="H74" s="102" t="s">
        <v>181</v>
      </c>
      <c r="I74" s="102" t="s">
        <v>181</v>
      </c>
      <c r="J74" s="102" t="s">
        <v>181</v>
      </c>
      <c r="K74" s="102" t="s">
        <v>181</v>
      </c>
      <c r="L74" s="102" t="s">
        <v>181</v>
      </c>
      <c r="M74" s="102" t="s">
        <v>181</v>
      </c>
      <c r="N74" s="102" t="s">
        <v>181</v>
      </c>
      <c r="O74" s="102" t="s">
        <v>181</v>
      </c>
      <c r="P74" s="102" t="s">
        <v>181</v>
      </c>
      <c r="Q74" s="102" t="s">
        <v>181</v>
      </c>
      <c r="R74" s="102" t="s">
        <v>181</v>
      </c>
      <c r="S74" s="102" t="s">
        <v>181</v>
      </c>
      <c r="T74" s="102" t="s">
        <v>181</v>
      </c>
      <c r="U74" s="102" t="s">
        <v>181</v>
      </c>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row>
    <row r="75" spans="1:53" ht="15.75" customHeight="1" x14ac:dyDescent="0.35">
      <c r="A75" s="120"/>
      <c r="B75" s="249"/>
      <c r="C75" s="249"/>
      <c r="D75" s="243" t="s">
        <v>192</v>
      </c>
      <c r="E75" s="243"/>
      <c r="F75" s="244" t="s">
        <v>192</v>
      </c>
      <c r="G75" s="92"/>
      <c r="H75" s="101"/>
      <c r="I75" s="101"/>
      <c r="J75" s="101"/>
      <c r="K75" s="101"/>
      <c r="L75" s="92"/>
      <c r="M75" s="101"/>
      <c r="N75" s="101"/>
      <c r="O75" s="101"/>
      <c r="P75" s="101"/>
      <c r="Q75" s="92"/>
      <c r="R75" s="101"/>
      <c r="S75" s="101"/>
      <c r="T75" s="101"/>
      <c r="U75" s="10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row>
    <row r="76" spans="1:53" ht="16.5" customHeight="1" x14ac:dyDescent="0.35">
      <c r="A76" s="120"/>
      <c r="B76" s="249"/>
      <c r="C76" s="249"/>
      <c r="D76" s="243"/>
      <c r="E76" s="243"/>
      <c r="F76" s="244"/>
      <c r="G76" s="102" t="s">
        <v>181</v>
      </c>
      <c r="H76" s="102" t="s">
        <v>181</v>
      </c>
      <c r="I76" s="102" t="s">
        <v>181</v>
      </c>
      <c r="J76" s="102" t="s">
        <v>181</v>
      </c>
      <c r="K76" s="102" t="s">
        <v>181</v>
      </c>
      <c r="L76" s="102" t="s">
        <v>181</v>
      </c>
      <c r="M76" s="102" t="s">
        <v>181</v>
      </c>
      <c r="N76" s="102" t="s">
        <v>181</v>
      </c>
      <c r="O76" s="102" t="s">
        <v>181</v>
      </c>
      <c r="P76" s="102" t="s">
        <v>181</v>
      </c>
      <c r="Q76" s="102" t="s">
        <v>181</v>
      </c>
      <c r="R76" s="102" t="s">
        <v>181</v>
      </c>
      <c r="S76" s="102" t="s">
        <v>181</v>
      </c>
      <c r="T76" s="102" t="s">
        <v>181</v>
      </c>
      <c r="U76" s="102" t="s">
        <v>181</v>
      </c>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row>
    <row r="77" spans="1:53" ht="40.5" customHeight="1" x14ac:dyDescent="0.35">
      <c r="A77" s="120"/>
      <c r="B77" s="245" t="s">
        <v>229</v>
      </c>
      <c r="C77" s="245"/>
      <c r="D77" s="246" t="s">
        <v>230</v>
      </c>
      <c r="E77" s="247"/>
      <c r="F77" s="247"/>
      <c r="G77" s="247"/>
      <c r="H77" s="247"/>
      <c r="I77" s="247"/>
      <c r="J77" s="247"/>
      <c r="K77" s="247"/>
      <c r="L77" s="247"/>
      <c r="M77" s="247"/>
      <c r="N77" s="247"/>
      <c r="O77" s="247"/>
      <c r="P77" s="247"/>
      <c r="Q77" s="247"/>
      <c r="R77" s="247"/>
      <c r="S77" s="247"/>
      <c r="T77" s="247"/>
      <c r="U77" s="248"/>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BA77" s="107" t="str">
        <f>D77</f>
        <v>Explain here (e.g. emission factors if calculated)</v>
      </c>
    </row>
    <row r="78" spans="1:53" ht="21" customHeight="1" x14ac:dyDescent="0.35">
      <c r="A78" s="120"/>
      <c r="B78" s="220" t="s">
        <v>231</v>
      </c>
      <c r="C78" s="221"/>
      <c r="D78" s="221"/>
      <c r="E78" s="221"/>
      <c r="F78" s="221"/>
      <c r="G78" s="221"/>
      <c r="H78" s="221"/>
      <c r="I78" s="221"/>
      <c r="J78" s="221"/>
      <c r="K78" s="221"/>
      <c r="L78" s="221"/>
      <c r="M78" s="221"/>
      <c r="N78" s="221"/>
      <c r="O78" s="221"/>
      <c r="P78" s="221"/>
      <c r="Q78" s="221"/>
      <c r="R78" s="221"/>
      <c r="S78" s="221"/>
      <c r="T78" s="221"/>
      <c r="U78" s="222"/>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row>
    <row r="79" spans="1:53" ht="15.75" customHeight="1" x14ac:dyDescent="0.35">
      <c r="A79" s="120"/>
      <c r="B79" s="223" t="s">
        <v>232</v>
      </c>
      <c r="C79" s="224"/>
      <c r="D79" s="229" t="s">
        <v>194</v>
      </c>
      <c r="E79" s="230"/>
      <c r="F79" s="231"/>
      <c r="G79" s="235" t="s">
        <v>183</v>
      </c>
      <c r="H79" s="235"/>
      <c r="I79" s="235"/>
      <c r="J79" s="235"/>
      <c r="K79" s="235"/>
      <c r="L79" s="236">
        <v>2030</v>
      </c>
      <c r="M79" s="236"/>
      <c r="N79" s="236"/>
      <c r="O79" s="236"/>
      <c r="P79" s="236"/>
      <c r="Q79" s="235">
        <v>2050</v>
      </c>
      <c r="R79" s="235"/>
      <c r="S79" s="235"/>
      <c r="T79" s="235"/>
      <c r="U79" s="235"/>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row>
    <row r="80" spans="1:53" x14ac:dyDescent="0.35">
      <c r="A80" s="120"/>
      <c r="B80" s="225"/>
      <c r="C80" s="226"/>
      <c r="D80" s="232"/>
      <c r="E80" s="233"/>
      <c r="F80" s="234"/>
      <c r="G80" s="168" t="s">
        <v>174</v>
      </c>
      <c r="H80" s="168" t="s">
        <v>175</v>
      </c>
      <c r="I80" s="168" t="s">
        <v>176</v>
      </c>
      <c r="J80" s="168" t="s">
        <v>177</v>
      </c>
      <c r="K80" s="168" t="s">
        <v>178</v>
      </c>
      <c r="L80" s="169" t="s">
        <v>174</v>
      </c>
      <c r="M80" s="169" t="s">
        <v>175</v>
      </c>
      <c r="N80" s="169" t="s">
        <v>176</v>
      </c>
      <c r="O80" s="169" t="s">
        <v>177</v>
      </c>
      <c r="P80" s="169" t="s">
        <v>178</v>
      </c>
      <c r="Q80" s="168" t="s">
        <v>174</v>
      </c>
      <c r="R80" s="168" t="s">
        <v>175</v>
      </c>
      <c r="S80" s="168" t="s">
        <v>176</v>
      </c>
      <c r="T80" s="168" t="s">
        <v>177</v>
      </c>
      <c r="U80" s="168" t="s">
        <v>178</v>
      </c>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row>
    <row r="81" spans="1:53" x14ac:dyDescent="0.35">
      <c r="A81" s="120"/>
      <c r="B81" s="225"/>
      <c r="C81" s="226"/>
      <c r="D81" s="237" t="s">
        <v>193</v>
      </c>
      <c r="E81" s="238"/>
      <c r="F81" s="239"/>
      <c r="G81" s="101"/>
      <c r="H81" s="101"/>
      <c r="I81" s="101"/>
      <c r="J81" s="101"/>
      <c r="K81" s="101"/>
      <c r="L81" s="101"/>
      <c r="M81" s="101"/>
      <c r="N81" s="101"/>
      <c r="O81" s="101"/>
      <c r="P81" s="101"/>
      <c r="Q81" s="101"/>
      <c r="R81" s="101"/>
      <c r="S81" s="101"/>
      <c r="T81" s="101"/>
      <c r="U81" s="10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row>
    <row r="82" spans="1:53" x14ac:dyDescent="0.35">
      <c r="A82" s="120"/>
      <c r="B82" s="227"/>
      <c r="C82" s="228"/>
      <c r="D82" s="240"/>
      <c r="E82" s="241"/>
      <c r="F82" s="242"/>
      <c r="G82" s="102" t="s">
        <v>181</v>
      </c>
      <c r="H82" s="102" t="s">
        <v>181</v>
      </c>
      <c r="I82" s="102" t="s">
        <v>181</v>
      </c>
      <c r="J82" s="102" t="s">
        <v>181</v>
      </c>
      <c r="K82" s="102" t="s">
        <v>181</v>
      </c>
      <c r="L82" s="102" t="s">
        <v>181</v>
      </c>
      <c r="M82" s="102" t="s">
        <v>181</v>
      </c>
      <c r="N82" s="102" t="s">
        <v>181</v>
      </c>
      <c r="O82" s="102" t="s">
        <v>181</v>
      </c>
      <c r="P82" s="102" t="s">
        <v>181</v>
      </c>
      <c r="Q82" s="102" t="s">
        <v>181</v>
      </c>
      <c r="R82" s="102" t="s">
        <v>181</v>
      </c>
      <c r="S82" s="102" t="s">
        <v>181</v>
      </c>
      <c r="T82" s="102" t="s">
        <v>181</v>
      </c>
      <c r="U82" s="102" t="s">
        <v>181</v>
      </c>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row>
    <row r="83" spans="1:53" ht="21" customHeight="1" x14ac:dyDescent="0.35">
      <c r="A83" s="120"/>
      <c r="B83" s="220" t="s">
        <v>120</v>
      </c>
      <c r="C83" s="221"/>
      <c r="D83" s="221"/>
      <c r="E83" s="221"/>
      <c r="F83" s="221"/>
      <c r="G83" s="221"/>
      <c r="H83" s="221"/>
      <c r="I83" s="221"/>
      <c r="J83" s="221"/>
      <c r="K83" s="221"/>
      <c r="L83" s="221"/>
      <c r="M83" s="221"/>
      <c r="N83" s="221"/>
      <c r="O83" s="221"/>
      <c r="P83" s="221"/>
      <c r="Q83" s="221"/>
      <c r="R83" s="221"/>
      <c r="S83" s="221"/>
      <c r="T83" s="221"/>
      <c r="U83" s="222"/>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row>
    <row r="84" spans="1:53" ht="15" customHeight="1" x14ac:dyDescent="0.35">
      <c r="A84" s="120"/>
      <c r="B84" s="80">
        <v>1</v>
      </c>
      <c r="C84" s="218" t="s">
        <v>233</v>
      </c>
      <c r="D84" s="218"/>
      <c r="E84" s="218"/>
      <c r="F84" s="218"/>
      <c r="G84" s="218"/>
      <c r="H84" s="218"/>
      <c r="I84" s="218"/>
      <c r="J84" s="218"/>
      <c r="K84" s="218"/>
      <c r="L84" s="218"/>
      <c r="M84" s="218"/>
      <c r="N84" s="218"/>
      <c r="O84" s="218"/>
      <c r="P84" s="218"/>
      <c r="Q84" s="218"/>
      <c r="R84" s="218"/>
      <c r="S84" s="218"/>
      <c r="T84" s="218"/>
      <c r="U84" s="218"/>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BA84" s="107" t="str">
        <f>C84</f>
        <v>SDE+ Eindadvies 2019</v>
      </c>
    </row>
    <row r="85" spans="1:53" ht="15" customHeight="1" x14ac:dyDescent="0.35">
      <c r="A85" s="120"/>
      <c r="B85" s="80">
        <v>2</v>
      </c>
      <c r="C85" s="218" t="s">
        <v>234</v>
      </c>
      <c r="D85" s="218"/>
      <c r="E85" s="218"/>
      <c r="F85" s="218"/>
      <c r="G85" s="218"/>
      <c r="H85" s="218"/>
      <c r="I85" s="218"/>
      <c r="J85" s="218"/>
      <c r="K85" s="218"/>
      <c r="L85" s="218"/>
      <c r="M85" s="218"/>
      <c r="N85" s="218"/>
      <c r="O85" s="218"/>
      <c r="P85" s="218"/>
      <c r="Q85" s="218"/>
      <c r="R85" s="218"/>
      <c r="S85" s="218"/>
      <c r="T85" s="218"/>
      <c r="U85" s="218"/>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BA85" s="107" t="str">
        <f t="shared" ref="BA85:BA94" si="0">C85</f>
        <v>DNV GL, 2017. Biomassapotentieel in Nederland. Verkennende studie naar vrij beschikbaar biomassapotentieel voor energieopwekking in Nederland. Paula Schulze, Johan Holstein, Harm Vlap. GCS.17.R.10032629.2</v>
      </c>
    </row>
    <row r="86" spans="1:53" ht="15" customHeight="1" x14ac:dyDescent="0.35">
      <c r="A86" s="120"/>
      <c r="B86" s="80">
        <v>3</v>
      </c>
      <c r="C86" s="218" t="s">
        <v>235</v>
      </c>
      <c r="D86" s="218"/>
      <c r="E86" s="218"/>
      <c r="F86" s="218"/>
      <c r="G86" s="218"/>
      <c r="H86" s="218"/>
      <c r="I86" s="218"/>
      <c r="J86" s="218"/>
      <c r="K86" s="218"/>
      <c r="L86" s="218"/>
      <c r="M86" s="218"/>
      <c r="N86" s="218"/>
      <c r="O86" s="218"/>
      <c r="P86" s="218"/>
      <c r="Q86" s="218"/>
      <c r="R86" s="218"/>
      <c r="S86" s="218"/>
      <c r="T86" s="218"/>
      <c r="U86" s="218"/>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BA86" s="107" t="str">
        <f t="shared" si="0"/>
        <v>ETRI study, 2018. Cost development of low carbon energy technologies. Scenario-based cost trajectories to 2050, 2017 edition.</v>
      </c>
    </row>
    <row r="87" spans="1:53" ht="15" customHeight="1" x14ac:dyDescent="0.35">
      <c r="A87" s="120"/>
      <c r="B87" s="80">
        <v>4</v>
      </c>
      <c r="C87" s="218" t="s">
        <v>236</v>
      </c>
      <c r="D87" s="218"/>
      <c r="E87" s="218"/>
      <c r="F87" s="218"/>
      <c r="G87" s="218"/>
      <c r="H87" s="218"/>
      <c r="I87" s="218"/>
      <c r="J87" s="218"/>
      <c r="K87" s="218"/>
      <c r="L87" s="218"/>
      <c r="M87" s="218"/>
      <c r="N87" s="218"/>
      <c r="O87" s="218"/>
      <c r="P87" s="218"/>
      <c r="Q87" s="218"/>
      <c r="R87" s="218"/>
      <c r="S87" s="218"/>
      <c r="T87" s="218"/>
      <c r="U87" s="218"/>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BA87" s="107" t="str">
        <f t="shared" si="0"/>
        <v>Elbersen et al., 2015. Biomass potential in the Netherlands (as part of the Biomass Policies project, co-funded by the EC). </v>
      </c>
    </row>
    <row r="88" spans="1:53" ht="15" customHeight="1" x14ac:dyDescent="0.35">
      <c r="A88" s="120"/>
      <c r="B88" s="80">
        <v>5</v>
      </c>
      <c r="C88" s="218" t="s">
        <v>237</v>
      </c>
      <c r="D88" s="218"/>
      <c r="E88" s="218"/>
      <c r="F88" s="218"/>
      <c r="G88" s="218"/>
      <c r="H88" s="218"/>
      <c r="I88" s="218"/>
      <c r="J88" s="218"/>
      <c r="K88" s="218"/>
      <c r="L88" s="218"/>
      <c r="M88" s="218"/>
      <c r="N88" s="218"/>
      <c r="O88" s="218"/>
      <c r="P88" s="218"/>
      <c r="Q88" s="218"/>
      <c r="R88" s="218"/>
      <c r="S88" s="218"/>
      <c r="T88" s="218"/>
      <c r="U88" s="218"/>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BA88" s="107" t="str">
        <f t="shared" si="0"/>
        <v>Routekaart Hernieuwbaar Gas, 2014. See https://groengas.nl/wp-content/uploads/2015/07/Routekaart-hernieuwbaar-gas.pdf</v>
      </c>
    </row>
    <row r="89" spans="1:53" ht="15" customHeight="1" x14ac:dyDescent="0.35">
      <c r="A89" s="120"/>
      <c r="B89" s="80">
        <v>6</v>
      </c>
      <c r="C89" s="218" t="s">
        <v>238</v>
      </c>
      <c r="D89" s="218"/>
      <c r="E89" s="218"/>
      <c r="F89" s="218"/>
      <c r="G89" s="218"/>
      <c r="H89" s="218"/>
      <c r="I89" s="218"/>
      <c r="J89" s="218"/>
      <c r="K89" s="218"/>
      <c r="L89" s="218"/>
      <c r="M89" s="218"/>
      <c r="N89" s="218"/>
      <c r="O89" s="218"/>
      <c r="P89" s="218"/>
      <c r="Q89" s="218"/>
      <c r="R89" s="218"/>
      <c r="S89" s="218"/>
      <c r="T89" s="218"/>
      <c r="U89" s="218"/>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BA89" s="107" t="str">
        <f t="shared" si="0"/>
        <v>Decision related to change of Activiteitenbesluit milieubeheer. See https://zoek.officielebekendmakingen.nl/stb-2017-330.html</v>
      </c>
    </row>
    <row r="90" spans="1:53" x14ac:dyDescent="0.35">
      <c r="A90" s="120"/>
      <c r="B90" s="80">
        <v>7</v>
      </c>
      <c r="C90" s="218"/>
      <c r="D90" s="218"/>
      <c r="E90" s="218"/>
      <c r="F90" s="218"/>
      <c r="G90" s="218"/>
      <c r="H90" s="218"/>
      <c r="I90" s="218"/>
      <c r="J90" s="218"/>
      <c r="K90" s="218"/>
      <c r="L90" s="218"/>
      <c r="M90" s="218"/>
      <c r="N90" s="218"/>
      <c r="O90" s="218"/>
      <c r="P90" s="218"/>
      <c r="Q90" s="218"/>
      <c r="R90" s="218"/>
      <c r="S90" s="218"/>
      <c r="T90" s="218"/>
      <c r="U90" s="218"/>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BA90" s="107">
        <f t="shared" si="0"/>
        <v>0</v>
      </c>
    </row>
    <row r="91" spans="1:53" x14ac:dyDescent="0.35">
      <c r="A91" s="120"/>
      <c r="B91" s="80">
        <v>8</v>
      </c>
      <c r="C91" s="218"/>
      <c r="D91" s="218"/>
      <c r="E91" s="218"/>
      <c r="F91" s="218"/>
      <c r="G91" s="218"/>
      <c r="H91" s="218"/>
      <c r="I91" s="218"/>
      <c r="J91" s="218"/>
      <c r="K91" s="218"/>
      <c r="L91" s="218"/>
      <c r="M91" s="218"/>
      <c r="N91" s="218"/>
      <c r="O91" s="218"/>
      <c r="P91" s="218"/>
      <c r="Q91" s="218"/>
      <c r="R91" s="218"/>
      <c r="S91" s="218"/>
      <c r="T91" s="218"/>
      <c r="U91" s="218"/>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BA91" s="107">
        <f t="shared" si="0"/>
        <v>0</v>
      </c>
    </row>
    <row r="92" spans="1:53" x14ac:dyDescent="0.35">
      <c r="A92" s="120"/>
      <c r="B92" s="80">
        <v>9</v>
      </c>
      <c r="C92" s="218"/>
      <c r="D92" s="218"/>
      <c r="E92" s="218"/>
      <c r="F92" s="218"/>
      <c r="G92" s="218"/>
      <c r="H92" s="218"/>
      <c r="I92" s="218"/>
      <c r="J92" s="218"/>
      <c r="K92" s="218"/>
      <c r="L92" s="218"/>
      <c r="M92" s="218"/>
      <c r="N92" s="218"/>
      <c r="O92" s="218"/>
      <c r="P92" s="218"/>
      <c r="Q92" s="218"/>
      <c r="R92" s="218"/>
      <c r="S92" s="218"/>
      <c r="T92" s="218"/>
      <c r="U92" s="218"/>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BA92" s="107">
        <f t="shared" si="0"/>
        <v>0</v>
      </c>
    </row>
    <row r="93" spans="1:53" x14ac:dyDescent="0.35">
      <c r="A93" s="120"/>
      <c r="B93" s="80">
        <v>10</v>
      </c>
      <c r="C93" s="218"/>
      <c r="D93" s="218"/>
      <c r="E93" s="218"/>
      <c r="F93" s="218"/>
      <c r="G93" s="218"/>
      <c r="H93" s="218"/>
      <c r="I93" s="218"/>
      <c r="J93" s="218"/>
      <c r="K93" s="218"/>
      <c r="L93" s="218"/>
      <c r="M93" s="218"/>
      <c r="N93" s="218"/>
      <c r="O93" s="218"/>
      <c r="P93" s="218"/>
      <c r="Q93" s="218"/>
      <c r="R93" s="218"/>
      <c r="S93" s="218"/>
      <c r="T93" s="218"/>
      <c r="U93" s="218"/>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BA93" s="107">
        <f t="shared" si="0"/>
        <v>0</v>
      </c>
    </row>
    <row r="94" spans="1:53" x14ac:dyDescent="0.35">
      <c r="A94" s="120"/>
      <c r="B94" s="219" t="s">
        <v>239</v>
      </c>
      <c r="C94" s="218" t="s">
        <v>240</v>
      </c>
      <c r="D94" s="218"/>
      <c r="E94" s="218"/>
      <c r="F94" s="218"/>
      <c r="G94" s="218"/>
      <c r="H94" s="218"/>
      <c r="I94" s="218"/>
      <c r="J94" s="218"/>
      <c r="K94" s="218"/>
      <c r="L94" s="218"/>
      <c r="M94" s="218"/>
      <c r="N94" s="218"/>
      <c r="O94" s="218"/>
      <c r="P94" s="218"/>
      <c r="Q94" s="218"/>
      <c r="R94" s="218"/>
      <c r="S94" s="218"/>
      <c r="T94" s="218"/>
      <c r="U94" s="218"/>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BA94" s="107" t="str">
        <f t="shared" si="0"/>
        <v>Add other sources here</v>
      </c>
    </row>
    <row r="95" spans="1:53" x14ac:dyDescent="0.35">
      <c r="A95" s="120"/>
      <c r="B95" s="219"/>
      <c r="C95" s="218"/>
      <c r="D95" s="218"/>
      <c r="E95" s="218"/>
      <c r="F95" s="218"/>
      <c r="G95" s="218"/>
      <c r="H95" s="218"/>
      <c r="I95" s="218"/>
      <c r="J95" s="218"/>
      <c r="K95" s="218"/>
      <c r="L95" s="218"/>
      <c r="M95" s="218"/>
      <c r="N95" s="218"/>
      <c r="O95" s="218"/>
      <c r="P95" s="218"/>
      <c r="Q95" s="218"/>
      <c r="R95" s="218"/>
      <c r="S95" s="218"/>
      <c r="T95" s="218"/>
      <c r="U95" s="218"/>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row>
    <row r="96" spans="1:53" x14ac:dyDescent="0.35">
      <c r="A96" s="120"/>
      <c r="B96" s="219"/>
      <c r="C96" s="218"/>
      <c r="D96" s="218"/>
      <c r="E96" s="218"/>
      <c r="F96" s="218"/>
      <c r="G96" s="218"/>
      <c r="H96" s="218"/>
      <c r="I96" s="218"/>
      <c r="J96" s="218"/>
      <c r="K96" s="218"/>
      <c r="L96" s="218"/>
      <c r="M96" s="218"/>
      <c r="N96" s="218"/>
      <c r="O96" s="218"/>
      <c r="P96" s="218"/>
      <c r="Q96" s="218"/>
      <c r="R96" s="218"/>
      <c r="S96" s="218"/>
      <c r="T96" s="218"/>
      <c r="U96" s="218"/>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row>
  </sheetData>
  <mergeCells count="138">
    <mergeCell ref="B94:B96"/>
    <mergeCell ref="D24:E25"/>
    <mergeCell ref="F24:F25"/>
    <mergeCell ref="C87:U87"/>
    <mergeCell ref="C88:U88"/>
    <mergeCell ref="C89:U89"/>
    <mergeCell ref="C90:U90"/>
    <mergeCell ref="C91:U91"/>
    <mergeCell ref="C84:U84"/>
    <mergeCell ref="C85:U85"/>
    <mergeCell ref="C86:U86"/>
    <mergeCell ref="D79:F80"/>
    <mergeCell ref="B79:C82"/>
    <mergeCell ref="B78:U78"/>
    <mergeCell ref="B83:U83"/>
    <mergeCell ref="B66:U66"/>
    <mergeCell ref="D67:E68"/>
    <mergeCell ref="F67:F68"/>
    <mergeCell ref="B67:C76"/>
    <mergeCell ref="D77:U77"/>
    <mergeCell ref="D57:U57"/>
    <mergeCell ref="B58:U58"/>
    <mergeCell ref="G59:K59"/>
    <mergeCell ref="L59:P59"/>
    <mergeCell ref="B4:K4"/>
    <mergeCell ref="B14:K14"/>
    <mergeCell ref="D5:K5"/>
    <mergeCell ref="D6:K6"/>
    <mergeCell ref="D7:K7"/>
    <mergeCell ref="D8:K8"/>
    <mergeCell ref="D9:K9"/>
    <mergeCell ref="D10:K10"/>
    <mergeCell ref="D11:K11"/>
    <mergeCell ref="D12:K12"/>
    <mergeCell ref="D13:K13"/>
    <mergeCell ref="B5:C5"/>
    <mergeCell ref="B12:C13"/>
    <mergeCell ref="B6:C6"/>
    <mergeCell ref="B11:C11"/>
    <mergeCell ref="B9:C9"/>
    <mergeCell ref="B10:C10"/>
    <mergeCell ref="B7:C8"/>
    <mergeCell ref="D65:U65"/>
    <mergeCell ref="D81:F82"/>
    <mergeCell ref="B77:C77"/>
    <mergeCell ref="D75:E76"/>
    <mergeCell ref="F75:F76"/>
    <mergeCell ref="D73:E74"/>
    <mergeCell ref="F73:F74"/>
    <mergeCell ref="D71:E72"/>
    <mergeCell ref="F71:F72"/>
    <mergeCell ref="D69:E70"/>
    <mergeCell ref="B65:C65"/>
    <mergeCell ref="B33:C33"/>
    <mergeCell ref="D18:F19"/>
    <mergeCell ref="D59:E60"/>
    <mergeCell ref="F59:F60"/>
    <mergeCell ref="B18:C19"/>
    <mergeCell ref="B37:C38"/>
    <mergeCell ref="B39:C40"/>
    <mergeCell ref="B41:C42"/>
    <mergeCell ref="B43:C44"/>
    <mergeCell ref="B34:U34"/>
    <mergeCell ref="D30:K30"/>
    <mergeCell ref="D27:K27"/>
    <mergeCell ref="G20:K20"/>
    <mergeCell ref="Q20:U20"/>
    <mergeCell ref="B21:C23"/>
    <mergeCell ref="D21:E23"/>
    <mergeCell ref="F21:F23"/>
    <mergeCell ref="B20:C20"/>
    <mergeCell ref="D20:E20"/>
    <mergeCell ref="L20:P20"/>
    <mergeCell ref="D28:K28"/>
    <mergeCell ref="D29:K29"/>
    <mergeCell ref="B28:C28"/>
    <mergeCell ref="B29:C29"/>
    <mergeCell ref="D63:E64"/>
    <mergeCell ref="F63:F64"/>
    <mergeCell ref="B47:C48"/>
    <mergeCell ref="B49:C56"/>
    <mergeCell ref="C94:U96"/>
    <mergeCell ref="F69:F70"/>
    <mergeCell ref="D15:K16"/>
    <mergeCell ref="B17:C17"/>
    <mergeCell ref="D17:F17"/>
    <mergeCell ref="B15:C16"/>
    <mergeCell ref="B32:C32"/>
    <mergeCell ref="B30:C30"/>
    <mergeCell ref="B27:C27"/>
    <mergeCell ref="B24:C25"/>
    <mergeCell ref="Q59:U59"/>
    <mergeCell ref="D61:E62"/>
    <mergeCell ref="F61:F62"/>
    <mergeCell ref="B57:C57"/>
    <mergeCell ref="Q47:U47"/>
    <mergeCell ref="D49:E50"/>
    <mergeCell ref="F49:F50"/>
    <mergeCell ref="D51:E52"/>
    <mergeCell ref="B45:C45"/>
    <mergeCell ref="G47:K47"/>
    <mergeCell ref="L47:P47"/>
    <mergeCell ref="B46:U46"/>
    <mergeCell ref="Q35:U35"/>
    <mergeCell ref="G35:K35"/>
    <mergeCell ref="L35:P35"/>
    <mergeCell ref="F51:F52"/>
    <mergeCell ref="D53:E54"/>
    <mergeCell ref="F53:F54"/>
    <mergeCell ref="D55:E56"/>
    <mergeCell ref="D45:U45"/>
    <mergeCell ref="B35:F36"/>
    <mergeCell ref="D37:D38"/>
    <mergeCell ref="E37:F38"/>
    <mergeCell ref="C93:U93"/>
    <mergeCell ref="B31:C31"/>
    <mergeCell ref="F55:F56"/>
    <mergeCell ref="D26:K26"/>
    <mergeCell ref="D31:K31"/>
    <mergeCell ref="D32:K32"/>
    <mergeCell ref="D33:K33"/>
    <mergeCell ref="F47:F48"/>
    <mergeCell ref="D47:E48"/>
    <mergeCell ref="G67:K67"/>
    <mergeCell ref="L67:P67"/>
    <mergeCell ref="Q67:U67"/>
    <mergeCell ref="G79:K79"/>
    <mergeCell ref="L79:P79"/>
    <mergeCell ref="Q79:U79"/>
    <mergeCell ref="B26:C26"/>
    <mergeCell ref="D39:D40"/>
    <mergeCell ref="E39:F40"/>
    <mergeCell ref="D41:D42"/>
    <mergeCell ref="E41:F42"/>
    <mergeCell ref="D43:D44"/>
    <mergeCell ref="E43:F44"/>
    <mergeCell ref="C92:U92"/>
    <mergeCell ref="B59:C64"/>
  </mergeCells>
  <conditionalFormatting sqref="D7">
    <cfRule type="containsText" dxfId="153" priority="163" operator="containsText" text="Please select">
      <formula>NOT(ISERROR(SEARCH("Please select",D7)))</formula>
    </cfRule>
  </conditionalFormatting>
  <conditionalFormatting sqref="D8 L8:O8">
    <cfRule type="containsText" dxfId="152" priority="162" operator="containsText" text="Other (specify here)">
      <formula>NOT(ISERROR(SEARCH("Other (specify here)",D8)))</formula>
    </cfRule>
  </conditionalFormatting>
  <conditionalFormatting sqref="D9">
    <cfRule type="containsText" dxfId="151" priority="161" operator="containsText" text="Please select">
      <formula>NOT(ISERROR(SEARCH("Please select",D9)))</formula>
    </cfRule>
  </conditionalFormatting>
  <conditionalFormatting sqref="L10:O10">
    <cfRule type="containsText" dxfId="150" priority="160" operator="containsText" text="Specify here">
      <formula>NOT(ISERROR(SEARCH("Specify here",L10)))</formula>
    </cfRule>
  </conditionalFormatting>
  <conditionalFormatting sqref="D11 L11:O11">
    <cfRule type="containsText" dxfId="149" priority="159" operator="containsText" text="Specify here">
      <formula>NOT(ISERROR(SEARCH("Specify here",D11)))</formula>
    </cfRule>
  </conditionalFormatting>
  <conditionalFormatting sqref="D6 L6:O6">
    <cfRule type="containsText" dxfId="148" priority="158" operator="containsText" text="DD-MM-YYYY">
      <formula>NOT(ISERROR(SEARCH("DD-MM-YYYY",D6)))</formula>
    </cfRule>
  </conditionalFormatting>
  <conditionalFormatting sqref="D12 L12:O12">
    <cfRule type="containsText" dxfId="147" priority="155" operator="containsText" text="Select the observed or expected TRL level in 2020">
      <formula>NOT(ISERROR(SEARCH("Select the observed or expected TRL level in 2020",D12)))</formula>
    </cfRule>
    <cfRule type="containsText" dxfId="146" priority="157" operator="containsText" text="Specify here the observed or expected TRL level in 2020">
      <formula>NOT(ISERROR(SEARCH("Specify here the observed or expected TRL level in 2020",D12)))</formula>
    </cfRule>
  </conditionalFormatting>
  <conditionalFormatting sqref="D13 L13:O13">
    <cfRule type="containsText" dxfId="145" priority="156" operator="containsText" text="Explain here">
      <formula>NOT(ISERROR(SEARCH("Explain here",D13)))</formula>
    </cfRule>
  </conditionalFormatting>
  <conditionalFormatting sqref="D32 D30">
    <cfRule type="containsText" dxfId="144" priority="154" operator="containsText" text="Please select">
      <formula>NOT(ISERROR(SEARCH("Please select",D30)))</formula>
    </cfRule>
  </conditionalFormatting>
  <conditionalFormatting sqref="D30 L30:O30">
    <cfRule type="containsText" dxfId="143" priority="150" operator="containsText" text="Specify here">
      <formula>NOT(ISERROR(SEARCH("Specify here",D30)))</formula>
    </cfRule>
  </conditionalFormatting>
  <conditionalFormatting sqref="L27:O28">
    <cfRule type="containsText" dxfId="142" priority="149" operator="containsText" text="Specify here">
      <formula>NOT(ISERROR(SEARCH("Specify here",L27)))</formula>
    </cfRule>
  </conditionalFormatting>
  <conditionalFormatting sqref="L26:O28">
    <cfRule type="containsText" dxfId="141" priority="148" operator="containsText" text="Specify here">
      <formula>NOT(ISERROR(SEARCH("Specify here",L26)))</formula>
    </cfRule>
  </conditionalFormatting>
  <conditionalFormatting sqref="L31:O31">
    <cfRule type="containsText" dxfId="140" priority="147" operator="containsText" text="Specify here">
      <formula>NOT(ISERROR(SEARCH("Specify here",L31)))</formula>
    </cfRule>
  </conditionalFormatting>
  <conditionalFormatting sqref="L33:O33">
    <cfRule type="containsText" dxfId="139" priority="146" operator="containsText" text="Explain here (e.g. other technical dimensions, region covered for potential such as NL or EU)">
      <formula>NOT(ISERROR(SEARCH("Explain here (e.g. other technical dimensions, region covered for potential such as NL or EU)",L33)))</formula>
    </cfRule>
  </conditionalFormatting>
  <conditionalFormatting sqref="L5:O5">
    <cfRule type="containsText" dxfId="138" priority="143" operator="containsText" text="Specify technology option name here">
      <formula>NOT(ISERROR(SEARCH("Specify technology option name here",L5)))</formula>
    </cfRule>
  </conditionalFormatting>
  <conditionalFormatting sqref="D18">
    <cfRule type="containsText" dxfId="137" priority="141" operator="containsText" text="Select Functional Unit above">
      <formula>NOT(ISERROR(SEARCH("Select Functional Unit above",D18)))</formula>
    </cfRule>
  </conditionalFormatting>
  <conditionalFormatting sqref="D49">
    <cfRule type="containsText" dxfId="136" priority="112" operator="containsText" text="Select">
      <formula>NOT(ISERROR(SEARCH("Select",D49)))</formula>
    </cfRule>
  </conditionalFormatting>
  <conditionalFormatting sqref="D71">
    <cfRule type="containsText" dxfId="135" priority="94" operator="containsText" text="Select">
      <formula>NOT(ISERROR(SEARCH("Select",D71)))</formula>
    </cfRule>
  </conditionalFormatting>
  <conditionalFormatting sqref="D73">
    <cfRule type="containsText" dxfId="134" priority="93" operator="containsText" text="Select">
      <formula>NOT(ISERROR(SEARCH("Select",D73)))</formula>
    </cfRule>
  </conditionalFormatting>
  <conditionalFormatting sqref="D51">
    <cfRule type="containsText" dxfId="133" priority="111" operator="containsText" text="Select">
      <formula>NOT(ISERROR(SEARCH("Select",D51)))</formula>
    </cfRule>
  </conditionalFormatting>
  <conditionalFormatting sqref="D75">
    <cfRule type="containsText" dxfId="132" priority="92" operator="containsText" text="Select">
      <formula>NOT(ISERROR(SEARCH("Select",D75)))</formula>
    </cfRule>
  </conditionalFormatting>
  <conditionalFormatting sqref="D53">
    <cfRule type="containsText" dxfId="131" priority="110" operator="containsText" text="Select">
      <formula>NOT(ISERROR(SEARCH("Select",D53)))</formula>
    </cfRule>
  </conditionalFormatting>
  <conditionalFormatting sqref="D55">
    <cfRule type="containsText" dxfId="130" priority="109" operator="containsText" text="Select">
      <formula>NOT(ISERROR(SEARCH("Select",D55)))</formula>
    </cfRule>
  </conditionalFormatting>
  <conditionalFormatting sqref="F49:F56">
    <cfRule type="containsText" dxfId="129" priority="108" operator="containsText" text="Please select">
      <formula>NOT(ISERROR(SEARCH("Please select",F49)))</formula>
    </cfRule>
  </conditionalFormatting>
  <conditionalFormatting sqref="D57">
    <cfRule type="containsText" dxfId="128" priority="107" operator="containsText" text="Explain here (e.g. flexible in and out)">
      <formula>NOT(ISERROR(SEARCH("Explain here (e.g. flexible in and out)",D57)))</formula>
    </cfRule>
  </conditionalFormatting>
  <conditionalFormatting sqref="D61">
    <cfRule type="containsText" dxfId="127" priority="98" operator="containsText" text="Select">
      <formula>NOT(ISERROR(SEARCH("Select",D61)))</formula>
    </cfRule>
  </conditionalFormatting>
  <conditionalFormatting sqref="D69">
    <cfRule type="containsText" dxfId="126" priority="95" operator="containsText" text="Select">
      <formula>NOT(ISERROR(SEARCH("Select",D69)))</formula>
    </cfRule>
  </conditionalFormatting>
  <conditionalFormatting sqref="F69:F76">
    <cfRule type="containsText" dxfId="125" priority="91" operator="containsText" text="Please select">
      <formula>NOT(ISERROR(SEARCH("Please select",F69)))</formula>
    </cfRule>
  </conditionalFormatting>
  <conditionalFormatting sqref="D77">
    <cfRule type="containsText" dxfId="124" priority="90" operator="containsText" text="Explain here">
      <formula>NOT(ISERROR(SEARCH("Explain here",D77)))</formula>
    </cfRule>
  </conditionalFormatting>
  <conditionalFormatting sqref="D81">
    <cfRule type="containsText" dxfId="123" priority="83" operator="containsText" text="Specify here">
      <formula>NOT(ISERROR(SEARCH("Specify here",D81)))</formula>
    </cfRule>
  </conditionalFormatting>
  <conditionalFormatting sqref="B84 B89 B86:B87 B91 B93">
    <cfRule type="containsText" dxfId="122" priority="82" operator="containsText" text="Specify data sources and references here">
      <formula>NOT(ISERROR(SEARCH("Specify data sources and references here",B84)))</formula>
    </cfRule>
  </conditionalFormatting>
  <conditionalFormatting sqref="D27">
    <cfRule type="containsText" dxfId="121" priority="81" operator="containsText" text="Please select">
      <formula>NOT(ISERROR(SEARCH("Please select",D27)))</formula>
    </cfRule>
  </conditionalFormatting>
  <conditionalFormatting sqref="D27">
    <cfRule type="containsText" dxfId="120" priority="80" operator="containsText" text="Specify here">
      <formula>NOT(ISERROR(SEARCH("Specify here",D27)))</formula>
    </cfRule>
  </conditionalFormatting>
  <conditionalFormatting sqref="D26:D27">
    <cfRule type="containsText" dxfId="119" priority="78" operator="containsText" text="Specify here (if not specified, value will be 1)">
      <formula>NOT(ISERROR(SEARCH("Specify here (if not specified, value will be 1)",D26)))</formula>
    </cfRule>
  </conditionalFormatting>
  <conditionalFormatting sqref="D31">
    <cfRule type="containsText" dxfId="118" priority="77" operator="containsText" text="Please select">
      <formula>NOT(ISERROR(SEARCH("Please select",D31)))</formula>
    </cfRule>
  </conditionalFormatting>
  <conditionalFormatting sqref="D31">
    <cfRule type="containsText" dxfId="117" priority="76" operator="containsText" text="Specify here">
      <formula>NOT(ISERROR(SEARCH("Specify here",D31)))</formula>
    </cfRule>
  </conditionalFormatting>
  <conditionalFormatting sqref="G40:K40 G42:K42 G44:K44 G38:K38">
    <cfRule type="containsText" dxfId="116" priority="75" operator="containsText" text="Reference">
      <formula>NOT(ISERROR(SEARCH("Reference",G38)))</formula>
    </cfRule>
  </conditionalFormatting>
  <conditionalFormatting sqref="L40:P40 L42:P42 L44:P44 L38:P38">
    <cfRule type="containsText" dxfId="115" priority="74" operator="containsText" text="Reference">
      <formula>NOT(ISERROR(SEARCH("Reference",L38)))</formula>
    </cfRule>
  </conditionalFormatting>
  <conditionalFormatting sqref="Q40:U40 Q42:U42 Q44:U44 Q38:U38">
    <cfRule type="containsText" dxfId="114" priority="73" operator="containsText" text="Reference">
      <formula>NOT(ISERROR(SEARCH("Reference",Q38)))</formula>
    </cfRule>
  </conditionalFormatting>
  <conditionalFormatting sqref="E37">
    <cfRule type="containsText" dxfId="113" priority="72" operator="containsText" text="Please select 'Functional Unit' above">
      <formula>NOT(ISERROR(SEARCH("Please select 'Functional Unit' above",E37)))</formula>
    </cfRule>
  </conditionalFormatting>
  <conditionalFormatting sqref="H52:K52 H54:K54 H56:K56 H50:K50">
    <cfRule type="containsText" dxfId="112" priority="68" operator="containsText" text="Reference">
      <formula>NOT(ISERROR(SEARCH("Reference",H50)))</formula>
    </cfRule>
  </conditionalFormatting>
  <conditionalFormatting sqref="M52:P52 M54:P54 M56:P56 M50:P50">
    <cfRule type="containsText" dxfId="111" priority="67" operator="containsText" text="Reference">
      <formula>NOT(ISERROR(SEARCH("Reference",M50)))</formula>
    </cfRule>
  </conditionalFormatting>
  <conditionalFormatting sqref="R52:U52 R54:U54 R56:U56 R50:U50">
    <cfRule type="containsText" dxfId="110" priority="66" operator="containsText" text="Reference">
      <formula>NOT(ISERROR(SEARCH("Reference",R50)))</formula>
    </cfRule>
  </conditionalFormatting>
  <conditionalFormatting sqref="H72:K72 H74:K74 H76:K76 H70:K70">
    <cfRule type="containsText" dxfId="109" priority="62" operator="containsText" text="Reference">
      <formula>NOT(ISERROR(SEARCH("Reference",H70)))</formula>
    </cfRule>
  </conditionalFormatting>
  <conditionalFormatting sqref="M72:P72 M74:P74 M76:P76 M70:P70">
    <cfRule type="containsText" dxfId="108" priority="61" operator="containsText" text="Reference">
      <formula>NOT(ISERROR(SEARCH("Reference",M70)))</formula>
    </cfRule>
  </conditionalFormatting>
  <conditionalFormatting sqref="R72:U72 R74:U74 R76:U76 R70:U70">
    <cfRule type="containsText" dxfId="107" priority="60" operator="containsText" text="Reference">
      <formula>NOT(ISERROR(SEARCH("Reference",R70)))</formula>
    </cfRule>
  </conditionalFormatting>
  <conditionalFormatting sqref="G64:K64 H62:K62">
    <cfRule type="containsText" dxfId="106" priority="59" operator="containsText" text="Reference">
      <formula>NOT(ISERROR(SEARCH("Reference",G62)))</formula>
    </cfRule>
  </conditionalFormatting>
  <conditionalFormatting sqref="L64:P64 M62:P62">
    <cfRule type="containsText" dxfId="105" priority="58" operator="containsText" text="Reference">
      <formula>NOT(ISERROR(SEARCH("Reference",L62)))</formula>
    </cfRule>
  </conditionalFormatting>
  <conditionalFormatting sqref="Q64:U64 R62:U62">
    <cfRule type="containsText" dxfId="104" priority="57" operator="containsText" text="Reference">
      <formula>NOT(ISERROR(SEARCH("Reference",Q62)))</formula>
    </cfRule>
  </conditionalFormatting>
  <conditionalFormatting sqref="G82:K82">
    <cfRule type="containsText" dxfId="103" priority="56" operator="containsText" text="Reference">
      <formula>NOT(ISERROR(SEARCH("Reference",G82)))</formula>
    </cfRule>
  </conditionalFormatting>
  <conditionalFormatting sqref="L82:P82">
    <cfRule type="containsText" dxfId="102" priority="55" operator="containsText" text="Reference">
      <formula>NOT(ISERROR(SEARCH("Reference",L82)))</formula>
    </cfRule>
  </conditionalFormatting>
  <conditionalFormatting sqref="Q82:U82">
    <cfRule type="containsText" dxfId="101" priority="54" operator="containsText" text="Reference">
      <formula>NOT(ISERROR(SEARCH("Reference",Q82)))</formula>
    </cfRule>
  </conditionalFormatting>
  <conditionalFormatting sqref="D5">
    <cfRule type="containsText" dxfId="100" priority="53" operator="containsText" text="Please select">
      <formula>NOT(ISERROR(SEARCH("Please select",D5)))</formula>
    </cfRule>
  </conditionalFormatting>
  <conditionalFormatting sqref="D5">
    <cfRule type="containsText" dxfId="99" priority="52" operator="containsText" text="Specify here">
      <formula>NOT(ISERROR(SEARCH("Specify here",D5)))</formula>
    </cfRule>
  </conditionalFormatting>
  <conditionalFormatting sqref="D10">
    <cfRule type="containsText" dxfId="98" priority="51" operator="containsText" text="Please select">
      <formula>NOT(ISERROR(SEARCH("Please select",D10)))</formula>
    </cfRule>
  </conditionalFormatting>
  <conditionalFormatting sqref="D15">
    <cfRule type="containsText" dxfId="97" priority="49" operator="containsText" text="Please select">
      <formula>NOT(ISERROR(SEARCH("Please select",D15)))</formula>
    </cfRule>
    <cfRule type="containsText" dxfId="96" priority="50" operator="containsText" text="Please select 'Functional Unit' above">
      <formula>NOT(ISERROR(SEARCH("Please select 'Functional Unit' above",D15)))</formula>
    </cfRule>
  </conditionalFormatting>
  <conditionalFormatting sqref="D21">
    <cfRule type="containsText" dxfId="95" priority="48" operator="containsText" text="Select Functional Unit above">
      <formula>NOT(ISERROR(SEARCH("Select Functional Unit above",D21)))</formula>
    </cfRule>
  </conditionalFormatting>
  <conditionalFormatting sqref="D28">
    <cfRule type="containsText" dxfId="94" priority="47" operator="containsText" text="Please select">
      <formula>NOT(ISERROR(SEARCH("Please select",D28)))</formula>
    </cfRule>
  </conditionalFormatting>
  <conditionalFormatting sqref="E39 E41 E43">
    <cfRule type="containsText" dxfId="93" priority="43" operator="containsText" text="Please select 'Functional Unit' above">
      <formula>NOT(ISERROR(SEARCH("Please select 'Functional Unit' above",E39)))</formula>
    </cfRule>
  </conditionalFormatting>
  <conditionalFormatting sqref="G52 G54 G56 G50">
    <cfRule type="containsText" dxfId="92" priority="42" operator="containsText" text="Reference">
      <formula>NOT(ISERROR(SEARCH("Reference",G50)))</formula>
    </cfRule>
  </conditionalFormatting>
  <conditionalFormatting sqref="L52 L54 L56 L50">
    <cfRule type="containsText" dxfId="91" priority="41" operator="containsText" text="Reference">
      <formula>NOT(ISERROR(SEARCH("Reference",L50)))</formula>
    </cfRule>
  </conditionalFormatting>
  <conditionalFormatting sqref="Q52 Q54 Q56 Q50">
    <cfRule type="containsText" dxfId="90" priority="40" operator="containsText" text="Reference">
      <formula>NOT(ISERROR(SEARCH("Reference",Q50)))</formula>
    </cfRule>
  </conditionalFormatting>
  <conditionalFormatting sqref="D63">
    <cfRule type="containsText" dxfId="89" priority="39" operator="containsText" text="Select">
      <formula>NOT(ISERROR(SEARCH("Select",D63)))</formula>
    </cfRule>
  </conditionalFormatting>
  <conditionalFormatting sqref="D61:F64">
    <cfRule type="containsText" dxfId="88" priority="38" operator="containsText" text="Specify here">
      <formula>NOT(ISERROR(SEARCH("Specify here",D61)))</formula>
    </cfRule>
  </conditionalFormatting>
  <conditionalFormatting sqref="G62">
    <cfRule type="containsText" dxfId="87" priority="37" operator="containsText" text="Reference">
      <formula>NOT(ISERROR(SEARCH("Reference",G62)))</formula>
    </cfRule>
  </conditionalFormatting>
  <conditionalFormatting sqref="L62">
    <cfRule type="containsText" dxfId="86" priority="36" operator="containsText" text="Reference">
      <formula>NOT(ISERROR(SEARCH("Reference",L62)))</formula>
    </cfRule>
  </conditionalFormatting>
  <conditionalFormatting sqref="Q62">
    <cfRule type="containsText" dxfId="85" priority="35" operator="containsText" text="Reference">
      <formula>NOT(ISERROR(SEARCH("Reference",Q62)))</formula>
    </cfRule>
  </conditionalFormatting>
  <conditionalFormatting sqref="G72 G74 G76 G70">
    <cfRule type="containsText" dxfId="84" priority="34" operator="containsText" text="Reference">
      <formula>NOT(ISERROR(SEARCH("Reference",G70)))</formula>
    </cfRule>
  </conditionalFormatting>
  <conditionalFormatting sqref="L72 L74 L76 L70">
    <cfRule type="containsText" dxfId="83" priority="33" operator="containsText" text="Reference">
      <formula>NOT(ISERROR(SEARCH("Reference",L70)))</formula>
    </cfRule>
  </conditionalFormatting>
  <conditionalFormatting sqref="Q72 Q74 Q76 Q70">
    <cfRule type="containsText" dxfId="82" priority="32" operator="containsText" text="Reference">
      <formula>NOT(ISERROR(SEARCH("Reference",Q70)))</formula>
    </cfRule>
  </conditionalFormatting>
  <conditionalFormatting sqref="B85 B88 B90 B92">
    <cfRule type="containsText" dxfId="81" priority="30" operator="containsText" text="Specify data sources and references here">
      <formula>NOT(ISERROR(SEARCH("Specify data sources and references here",B85)))</formula>
    </cfRule>
  </conditionalFormatting>
  <conditionalFormatting sqref="C94:U96">
    <cfRule type="containsText" dxfId="80" priority="28" operator="containsText" text="Add other sources here">
      <formula>NOT(ISERROR(SEARCH("Add other sources here",C94)))</formula>
    </cfRule>
  </conditionalFormatting>
  <conditionalFormatting sqref="D24">
    <cfRule type="containsText" dxfId="79" priority="26" operator="containsText" text="Select Functional Unit above">
      <formula>NOT(ISERROR(SEARCH("Select Functional Unit above",D24)))</formula>
    </cfRule>
  </conditionalFormatting>
  <conditionalFormatting sqref="F21">
    <cfRule type="containsText" dxfId="78" priority="25" operator="containsText" text="Please select the region">
      <formula>NOT(ISERROR(SEARCH("Please select the region",F21)))</formula>
    </cfRule>
  </conditionalFormatting>
  <conditionalFormatting sqref="F24:F25">
    <cfRule type="containsText" dxfId="77" priority="24" operator="containsText" text="Specify here the market">
      <formula>NOT(ISERROR(SEARCH("Specify here the market",F24)))</formula>
    </cfRule>
  </conditionalFormatting>
  <conditionalFormatting sqref="G19:K19">
    <cfRule type="containsText" dxfId="76" priority="23" operator="containsText" text="Reference">
      <formula>NOT(ISERROR(SEARCH("Reference",G19)))</formula>
    </cfRule>
  </conditionalFormatting>
  <conditionalFormatting sqref="G25:K25">
    <cfRule type="containsText" dxfId="75" priority="21" operator="containsText" text="Reference">
      <formula>NOT(ISERROR(SEARCH("Reference",G25)))</formula>
    </cfRule>
  </conditionalFormatting>
  <conditionalFormatting sqref="G38:U38 G40:U40 G42:U42 G44:U44 G50:U50 G52:U52 G54:U54 G56:U56 G62:U62 G64:U64 G70:U70 G72:U72 G74:U74 G76:U76 G82:U82">
    <cfRule type="containsText" dxfId="74" priority="20" operator="containsText" text="Reference">
      <formula>NOT(ISERROR(SEARCH("Reference",G38)))</formula>
    </cfRule>
  </conditionalFormatting>
  <conditionalFormatting sqref="L25:P25">
    <cfRule type="containsText" dxfId="73" priority="19" operator="containsText" text="Reference">
      <formula>NOT(ISERROR(SEARCH("Reference",L25)))</formula>
    </cfRule>
  </conditionalFormatting>
  <conditionalFormatting sqref="Q25:U25 Q23:U23">
    <cfRule type="containsText" dxfId="72" priority="18" operator="containsText" text="Reference">
      <formula>NOT(ISERROR(SEARCH("Reference",Q23)))</formula>
    </cfRule>
  </conditionalFormatting>
  <conditionalFormatting sqref="Q23:U23 L25:U25">
    <cfRule type="containsText" dxfId="71" priority="17" operator="containsText" text="Reference">
      <formula>NOT(ISERROR(SEARCH("Reference",L23)))</formula>
    </cfRule>
  </conditionalFormatting>
  <conditionalFormatting sqref="D29">
    <cfRule type="containsText" dxfId="70" priority="14" operator="containsText" text="Please select">
      <formula>NOT(ISERROR(SEARCH("Please select",D29)))</formula>
    </cfRule>
  </conditionalFormatting>
  <conditionalFormatting sqref="D29">
    <cfRule type="containsText" dxfId="69" priority="13" operator="containsText" text="Specify here">
      <formula>NOT(ISERROR(SEARCH("Specify here",D29)))</formula>
    </cfRule>
  </conditionalFormatting>
  <conditionalFormatting sqref="I23:K23">
    <cfRule type="containsText" dxfId="68" priority="12" operator="containsText" text="Reference">
      <formula>NOT(ISERROR(SEARCH("Reference",I23)))</formula>
    </cfRule>
  </conditionalFormatting>
  <conditionalFormatting sqref="O23:P23">
    <cfRule type="containsText" dxfId="67" priority="11" operator="containsText" text="Reference">
      <formula>NOT(ISERROR(SEARCH("Reference",O23)))</formula>
    </cfRule>
  </conditionalFormatting>
  <conditionalFormatting sqref="O23:P23">
    <cfRule type="containsText" dxfId="66" priority="10" operator="containsText" text="Reference">
      <formula>NOT(ISERROR(SEARCH("Reference",O23)))</formula>
    </cfRule>
  </conditionalFormatting>
  <conditionalFormatting sqref="G23:H23">
    <cfRule type="containsText" dxfId="65" priority="9" operator="containsText" text="Reference">
      <formula>NOT(ISERROR(SEARCH("Reference",G23)))</formula>
    </cfRule>
  </conditionalFormatting>
  <conditionalFormatting sqref="L23:M23">
    <cfRule type="containsText" dxfId="64" priority="7" operator="containsText" text="Reference">
      <formula>NOT(ISERROR(SEARCH("Reference",L23)))</formula>
    </cfRule>
  </conditionalFormatting>
  <conditionalFormatting sqref="C85:U86">
    <cfRule type="containsText" dxfId="63" priority="6" operator="containsText" text="Specify complete references and data sources used here">
      <formula>NOT(ISERROR(SEARCH("Specify complete references and data sources used here",C85)))</formula>
    </cfRule>
  </conditionalFormatting>
  <conditionalFormatting sqref="D33">
    <cfRule type="containsText" dxfId="62" priority="4"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N23">
    <cfRule type="containsText" dxfId="61" priority="3" operator="containsText" text="Reference">
      <formula>NOT(ISERROR(SEARCH("Reference",N23)))</formula>
    </cfRule>
  </conditionalFormatting>
  <conditionalFormatting sqref="D45">
    <cfRule type="containsText" dxfId="60" priority="2" operator="containsText" text="Explain here (e.g. other costs)">
      <formula>NOT(ISERROR(SEARCH("Explain here (e.g. other costs)",D45)))</formula>
    </cfRule>
  </conditionalFormatting>
  <conditionalFormatting sqref="D65">
    <cfRule type="containsText" dxfId="59" priority="1" operator="containsText" text="Explain here">
      <formula>NOT(ISERROR(SEARCH("Explain here",D65)))</formula>
    </cfRule>
  </conditionalFormatting>
  <dataValidations count="7">
    <dataValidation allowBlank="1" showInputMessage="1" showErrorMessage="1" prompt="More details are found in 'READ ME' tab" sqref="L13:O13 D13" xr:uid="{B4D7B7FC-E8D7-4C1B-974F-5315503DC18D}"/>
    <dataValidation type="textLength" operator="lessThanOrEqual" allowBlank="1" showInputMessage="1" showErrorMessage="1" error="The cell only allows up to 700 characters._x000a_" prompt="Maximum length: 700 characters" sqref="L11:O11" xr:uid="{C5AE93C3-C533-4DD9-9795-E0F27DA99FD2}">
      <formula1>700</formula1>
    </dataValidation>
    <dataValidation type="list" allowBlank="1" showInputMessage="1" showErrorMessage="1" sqref="L32:O32" xr:uid="{9901DC60-A1E1-4973-90BC-3DD1AF773D91}">
      <formula1>$X$6:$X$8</formula1>
    </dataValidation>
    <dataValidation type="list" allowBlank="1" showInputMessage="1" showErrorMessage="1" sqref="L9:O9" xr:uid="{F5BF810B-B1A7-456C-9F71-FBD4C582EC0E}">
      <formula1>$X$1:$X$4</formula1>
    </dataValidation>
    <dataValidation type="list" allowBlank="1" showInputMessage="1" showErrorMessage="1" sqref="L10:O10" xr:uid="{29D3573C-0C52-46C7-9055-4E9461B109EE}">
      <formula1>$D$3:$D$14</formula1>
    </dataValidation>
    <dataValidation type="list" allowBlank="1" showInputMessage="1" showErrorMessage="1" sqref="L7:O7" xr:uid="{D86DA10A-1FF8-4068-B238-00E13191ECA8}">
      <formula1>$B$3:$B$24</formula1>
    </dataValidation>
    <dataValidation type="list" allowBlank="1" showInputMessage="1" showErrorMessage="1" prompt="More details are found in 'READ ME' tab" sqref="L12:O12" xr:uid="{455B2EE1-DA0C-4FC7-8B40-616F3DC8FB94}">
      <formula1>$C$17:$C$29</formula1>
    </dataValidation>
  </dataValidations>
  <pageMargins left="0.7" right="0.7" top="0.75" bottom="0.75" header="0.3" footer="0.3"/>
  <pageSetup paperSize="9" scale="24" orientation="landscape"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More details are found in 'READ ME' tab" xr:uid="{3B2EFD59-C82A-4C21-BC7E-5967DA275EBD}">
          <x14:formula1>
            <xm:f>'READ ME'!$C$21:$C$29</xm:f>
          </x14:formula1>
          <xm:sqref>D12</xm:sqref>
        </x14:dataValidation>
        <x14:dataValidation type="list" allowBlank="1" showInputMessage="1" showErrorMessage="1" xr:uid="{F2D99DDC-1834-4945-A4B5-BD6659E600DE}">
          <x14:formula1>
            <xm:f>List!$X$6:$X$8</xm:f>
          </x14:formula1>
          <xm:sqref>D32</xm:sqref>
        </x14:dataValidation>
        <x14:dataValidation type="list" allowBlank="1" showInputMessage="1" showErrorMessage="1" xr:uid="{FCF60EDD-8723-4377-A8DE-0FD5E2B16B26}">
          <x14:formula1>
            <xm:f>List!$D$3:$D$17</xm:f>
          </x14:formula1>
          <xm:sqref>D10</xm:sqref>
        </x14:dataValidation>
        <x14:dataValidation type="list" allowBlank="1" showInputMessage="1" showErrorMessage="1" xr:uid="{76FA057E-DA0C-4011-B7C0-B5F22923686A}">
          <x14:formula1>
            <xm:f>List!$R$3:$R$6</xm:f>
          </x14:formula1>
          <xm:sqref>F69:F76</xm:sqref>
        </x14:dataValidation>
        <x14:dataValidation type="list" allowBlank="1" showInputMessage="1" showErrorMessage="1" xr:uid="{5C14CD96-F0E1-44BA-B106-C1D8217234AF}">
          <x14:formula1>
            <xm:f>List!$H$3:$H$10</xm:f>
          </x14:formula1>
          <xm:sqref>D28</xm:sqref>
        </x14:dataValidation>
        <x14:dataValidation type="list" allowBlank="1" showInputMessage="1" showErrorMessage="1" xr:uid="{6F148484-592E-4739-AA3B-086D9F58AA6B}">
          <x14:formula1>
            <xm:f>List!$B$3:$B$26</xm:f>
          </x14:formula1>
          <xm:sqref>D7</xm:sqref>
        </x14:dataValidation>
        <x14:dataValidation type="list" allowBlank="1" showInputMessage="1" showErrorMessage="1" xr:uid="{514D6F72-5CFB-457A-96D1-251F32E68A05}">
          <x14:formula1>
            <xm:f>List!$F$3:$F$17</xm:f>
          </x14:formula1>
          <xm:sqref>D15:K16</xm:sqref>
        </x14:dataValidation>
        <x14:dataValidation type="list" allowBlank="1" showInputMessage="1" showErrorMessage="1" xr:uid="{CF760670-593A-41D1-8C54-DCBEC36DBEBD}">
          <x14:formula1>
            <xm:f>List!$X$2:$X$4</xm:f>
          </x14:formula1>
          <xm:sqref>D9:K9</xm:sqref>
        </x14:dataValidation>
        <x14:dataValidation type="list" allowBlank="1" showInputMessage="1" showErrorMessage="1" xr:uid="{EDECACFC-8F15-4C64-B465-E09030EB7C87}">
          <x14:formula1>
            <xm:f>List!$P$3:$P$13</xm:f>
          </x14:formula1>
          <xm:sqref>D69:E76</xm:sqref>
        </x14:dataValidation>
        <x14:dataValidation type="list" allowBlank="1" showInputMessage="1" showErrorMessage="1" xr:uid="{B0DBFE3B-5AB8-4599-A340-DC1026EACFA2}">
          <x14:formula1>
            <xm:f>List!$J$2:$J$75</xm:f>
          </x14:formula1>
          <xm:sqref>D49:E50</xm:sqref>
        </x14:dataValidation>
        <x14:dataValidation type="list" allowBlank="1" showInputMessage="1" showErrorMessage="1" xr:uid="{6024F62B-4B5B-4E7B-B1C0-DD051F3161C6}">
          <x14:formula1>
            <xm:f>List!$X$10:$X$13</xm:f>
          </x14:formula1>
          <xm:sqref>F21</xm:sqref>
        </x14:dataValidation>
        <x14:dataValidation type="list" allowBlank="1" showInputMessage="1" showErrorMessage="1" xr:uid="{67E90E8D-C3BA-4EE5-A845-0834B3E011DB}">
          <x14:formula1>
            <xm:f>List!$J$3:$J$69</xm:f>
          </x14:formula1>
          <xm:sqref>D51:E56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76"/>
  <sheetViews>
    <sheetView tabSelected="1" zoomScale="62" zoomScaleNormal="62" zoomScaleSheetLayoutView="90" workbookViewId="0">
      <selection activeCell="B14" sqref="B14:C14"/>
    </sheetView>
  </sheetViews>
  <sheetFormatPr defaultColWidth="11" defaultRowHeight="15.5" x14ac:dyDescent="0.35"/>
  <cols>
    <col min="1" max="1" width="4.83203125" customWidth="1"/>
    <col min="2" max="3" width="15.5" customWidth="1"/>
    <col min="4" max="4" width="13.58203125" customWidth="1"/>
    <col min="5" max="5" width="13.75" customWidth="1"/>
    <col min="6" max="6" width="10.83203125" customWidth="1"/>
    <col min="52" max="52" width="131" hidden="1" customWidth="1"/>
  </cols>
  <sheetData>
    <row r="1" spans="1:52" ht="21" x14ac:dyDescent="0.5">
      <c r="B1" s="3" t="s">
        <v>241</v>
      </c>
      <c r="C1" s="1"/>
      <c r="D1" s="1"/>
      <c r="E1" s="1"/>
      <c r="F1" s="1"/>
      <c r="G1" s="1"/>
      <c r="H1" s="1"/>
      <c r="I1" s="1"/>
      <c r="J1" s="1"/>
      <c r="K1" s="1"/>
      <c r="L1" s="1"/>
      <c r="M1" s="1"/>
      <c r="N1" s="1"/>
      <c r="O1" s="1"/>
      <c r="AZ1" s="108"/>
    </row>
    <row r="2" spans="1:52" ht="22.5" customHeight="1" thickBot="1" x14ac:dyDescent="0.4">
      <c r="A2" s="1"/>
      <c r="B2" s="1"/>
      <c r="C2" s="1"/>
      <c r="D2" s="1"/>
      <c r="E2" s="1"/>
      <c r="F2" s="1"/>
      <c r="G2" s="1"/>
      <c r="H2" s="1"/>
      <c r="I2" s="1"/>
      <c r="J2" s="1"/>
      <c r="K2" s="1"/>
      <c r="L2" s="1"/>
      <c r="M2" s="1"/>
      <c r="N2" s="1"/>
      <c r="O2" s="1"/>
      <c r="AZ2" s="108"/>
    </row>
    <row r="3" spans="1:52" ht="22" thickTop="1" thickBot="1" x14ac:dyDescent="0.4">
      <c r="A3" s="1"/>
      <c r="B3" s="381" t="s">
        <v>242</v>
      </c>
      <c r="C3" s="382"/>
      <c r="D3" s="382"/>
      <c r="E3" s="382"/>
      <c r="F3" s="382"/>
      <c r="G3" s="382"/>
      <c r="H3" s="382"/>
      <c r="I3" s="382"/>
      <c r="J3" s="382"/>
      <c r="K3" s="382"/>
      <c r="L3" s="382"/>
      <c r="M3" s="382"/>
      <c r="N3" s="382"/>
      <c r="O3" s="383"/>
      <c r="AZ3" s="108"/>
    </row>
    <row r="4" spans="1:52" ht="16" thickBot="1" x14ac:dyDescent="0.4">
      <c r="A4" s="1"/>
      <c r="B4" s="364" t="s">
        <v>165</v>
      </c>
      <c r="C4" s="384"/>
      <c r="D4" s="385">
        <f>IF('Data input'!D6="DD-MM-YYYY"," ",'Data input'!D6)</f>
        <v>43346</v>
      </c>
      <c r="E4" s="386"/>
      <c r="F4" s="386"/>
      <c r="G4" s="386"/>
      <c r="H4" s="386"/>
      <c r="I4" s="386"/>
      <c r="J4" s="386"/>
      <c r="K4" s="386"/>
      <c r="L4" s="386"/>
      <c r="M4" s="386"/>
      <c r="N4" s="386"/>
      <c r="O4" s="387"/>
      <c r="AZ4" s="108"/>
    </row>
    <row r="5" spans="1:52" ht="16" thickBot="1" x14ac:dyDescent="0.4">
      <c r="A5" s="1"/>
      <c r="B5" s="180" t="s">
        <v>243</v>
      </c>
      <c r="C5" s="181"/>
      <c r="D5" s="405" t="s">
        <v>244</v>
      </c>
      <c r="E5" s="406"/>
      <c r="F5" s="406"/>
      <c r="G5" s="406"/>
      <c r="H5" s="406"/>
      <c r="I5" s="406"/>
      <c r="J5" s="406"/>
      <c r="K5" s="406"/>
      <c r="L5" s="406"/>
      <c r="M5" s="406"/>
      <c r="N5" s="406"/>
      <c r="O5" s="407"/>
      <c r="AZ5" s="108"/>
    </row>
    <row r="6" spans="1:52" x14ac:dyDescent="0.35">
      <c r="A6" s="1"/>
      <c r="B6" s="393" t="s">
        <v>13</v>
      </c>
      <c r="C6" s="394"/>
      <c r="D6" s="397" t="s">
        <v>245</v>
      </c>
      <c r="E6" s="398"/>
      <c r="F6" s="398"/>
      <c r="G6" s="398"/>
      <c r="H6" s="398"/>
      <c r="I6" s="398"/>
      <c r="J6" s="398"/>
      <c r="K6" s="398"/>
      <c r="L6" s="398"/>
      <c r="M6" s="398"/>
      <c r="N6" s="398"/>
      <c r="O6" s="399"/>
      <c r="AZ6" s="108"/>
    </row>
    <row r="7" spans="1:52" ht="35.25" customHeight="1" thickBot="1" x14ac:dyDescent="0.4">
      <c r="A7" s="1"/>
      <c r="B7" s="395"/>
      <c r="C7" s="396"/>
      <c r="D7" s="388" t="str">
        <f>IF('Data input'!D8="Other (specify here)"," ",'Data input'!D8)</f>
        <v>Refers to all residues from food and beverage industry, biodegradable waste, residues from biofuel installations, fruit, vegetable and garden wastes and the organic faction of municipal wastes. Thus, it covers the sectors industry, households and agriculture.</v>
      </c>
      <c r="E7" s="389"/>
      <c r="F7" s="389"/>
      <c r="G7" s="389"/>
      <c r="H7" s="389"/>
      <c r="I7" s="389"/>
      <c r="J7" s="389"/>
      <c r="K7" s="389"/>
      <c r="L7" s="389"/>
      <c r="M7" s="389"/>
      <c r="N7" s="389"/>
      <c r="O7" s="390"/>
      <c r="AZ7" s="108"/>
    </row>
    <row r="8" spans="1:52" ht="16" thickBot="1" x14ac:dyDescent="0.4">
      <c r="A8" s="1"/>
      <c r="B8" s="391" t="s">
        <v>17</v>
      </c>
      <c r="C8" s="392"/>
      <c r="D8" s="388" t="str">
        <f>IF('Data input'!D9="Please select"," ",'Data input'!D9)</f>
        <v>Non-ETS</v>
      </c>
      <c r="E8" s="389"/>
      <c r="F8" s="389"/>
      <c r="G8" s="389"/>
      <c r="H8" s="389"/>
      <c r="I8" s="389"/>
      <c r="J8" s="389"/>
      <c r="K8" s="389"/>
      <c r="L8" s="389"/>
      <c r="M8" s="389"/>
      <c r="N8" s="389"/>
      <c r="O8" s="390"/>
      <c r="AZ8" s="108"/>
    </row>
    <row r="9" spans="1:52" ht="16" thickBot="1" x14ac:dyDescent="0.4">
      <c r="A9" s="1"/>
      <c r="B9" s="391" t="s">
        <v>19</v>
      </c>
      <c r="C9" s="392"/>
      <c r="D9" s="388" t="str">
        <f>IF('Data input'!D10="Please select"," ",'Data input'!D10)</f>
        <v>Biomass</v>
      </c>
      <c r="E9" s="389"/>
      <c r="F9" s="389"/>
      <c r="G9" s="389"/>
      <c r="H9" s="389"/>
      <c r="I9" s="389"/>
      <c r="J9" s="389"/>
      <c r="K9" s="389"/>
      <c r="L9" s="389"/>
      <c r="M9" s="389"/>
      <c r="N9" s="389"/>
      <c r="O9" s="390"/>
      <c r="AZ9" s="108"/>
    </row>
    <row r="10" spans="1:52" ht="171" thickBot="1" x14ac:dyDescent="0.4">
      <c r="A10" s="1"/>
      <c r="B10" s="400" t="s">
        <v>22</v>
      </c>
      <c r="C10" s="401"/>
      <c r="D10" s="378" t="str">
        <f>IF('Data input'!D11="Specify here"," ",'Data input'!D11)</f>
        <v xml:space="preserve">Wet biomass in this category refers to organic wastes such as residual flows from the food and beverage industry, vegetable, fruit and garden wastes, or organic wet faction of household wastes. The residual flows are mentioned in the NTA8003 and published by the Netherlands Standardization Institute. For this category, a minimum biogas production of 25 Nm3 (natural gas equivalent) for tonne feedstock is requested. Manure is not included in this category. 
The biomass is digested in a state-of the-art anaerobic digestion installation to produce biogas. The installation consists of storage and pre-treatment, digestion installations, combustion of biogas and post treatment and storage of digestate (i.e. dewatering, drying, in some cases hygenisation and storage). On average, the residence time of the organic waste in the fermenter is around 30 days and biogas is produced. 
Biogas consists mainly of methane (in average 60%) and carbon dioxide (33-38%) in addition to contaminants such as sulphur, water vapor and oxygen. The biogas is desulfurized prior to it being fed into a gas motor to produce heat and electricity. The Activities Decree on emissions for combustion plants requires that the gas motors comply with the emission limits for SO2 and NOx. </v>
      </c>
      <c r="E10" s="379"/>
      <c r="F10" s="379"/>
      <c r="G10" s="379"/>
      <c r="H10" s="379"/>
      <c r="I10" s="379"/>
      <c r="J10" s="379"/>
      <c r="K10" s="379"/>
      <c r="L10" s="379"/>
      <c r="M10" s="379"/>
      <c r="N10" s="379"/>
      <c r="O10" s="380"/>
      <c r="AZ10" s="108" t="str">
        <f>D10</f>
        <v xml:space="preserve">Wet biomass in this category refers to organic wastes such as residual flows from the food and beverage industry, vegetable, fruit and garden wastes, or organic wet faction of household wastes. The residual flows are mentioned in the NTA8003 and published by the Netherlands Standardization Institute. For this category, a minimum biogas production of 25 Nm3 (natural gas equivalent) for tonne feedstock is requested. Manure is not included in this category. 
The biomass is digested in a state-of the-art anaerobic digestion installation to produce biogas. The installation consists of storage and pre-treatment, digestion installations, combustion of biogas and post treatment and storage of digestate (i.e. dewatering, drying, in some cases hygenisation and storage). On average, the residence time of the organic waste in the fermenter is around 30 days and biogas is produced. 
Biogas consists mainly of methane (in average 60%) and carbon dioxide (33-38%) in addition to contaminants such as sulphur, water vapor and oxygen. The biogas is desulfurized prior to it being fed into a gas motor to produce heat and electricity. The Activities Decree on emissions for combustion plants requires that the gas motors comply with the emission limits for SO2 and NOx. </v>
      </c>
    </row>
    <row r="11" spans="1:52" ht="16" thickBot="1" x14ac:dyDescent="0.4">
      <c r="A11" s="1"/>
      <c r="B11" s="180" t="s">
        <v>170</v>
      </c>
      <c r="C11" s="182"/>
      <c r="D11" s="402" t="str">
        <f>IF('Data input'!D12="Select the observed or expected TRL level in 2020"," ",'Data input'!D12)</f>
        <v>TRL 9</v>
      </c>
      <c r="E11" s="403"/>
      <c r="F11" s="403"/>
      <c r="G11" s="403"/>
      <c r="H11" s="403"/>
      <c r="I11" s="403"/>
      <c r="J11" s="403"/>
      <c r="K11" s="403"/>
      <c r="L11" s="403"/>
      <c r="M11" s="403"/>
      <c r="N11" s="403"/>
      <c r="O11" s="404"/>
      <c r="AZ11" s="108"/>
    </row>
    <row r="12" spans="1:52" ht="16" thickBot="1" x14ac:dyDescent="0.4">
      <c r="A12" s="1"/>
      <c r="B12" s="183"/>
      <c r="C12" s="184"/>
      <c r="D12" s="378" t="str">
        <f>IF('Data input'!D13="Explain here (add reference sources)"," ",'Data input'!D13)</f>
        <v xml:space="preserve">Anaerobic digestion technology and CHP are widely applied commercial technologies. </v>
      </c>
      <c r="E12" s="379"/>
      <c r="F12" s="379"/>
      <c r="G12" s="379"/>
      <c r="H12" s="379"/>
      <c r="I12" s="379"/>
      <c r="J12" s="379"/>
      <c r="K12" s="379"/>
      <c r="L12" s="379"/>
      <c r="M12" s="379"/>
      <c r="N12" s="379"/>
      <c r="O12" s="380"/>
      <c r="AZ12" s="108" t="str">
        <f>D12</f>
        <v xml:space="preserve">Anaerobic digestion technology and CHP are widely applied commercial technologies. </v>
      </c>
    </row>
    <row r="13" spans="1:52" ht="16" thickBot="1" x14ac:dyDescent="0.4">
      <c r="A13" s="1"/>
      <c r="B13" s="359" t="s">
        <v>47</v>
      </c>
      <c r="C13" s="349"/>
      <c r="D13" s="349"/>
      <c r="E13" s="349"/>
      <c r="F13" s="349"/>
      <c r="G13" s="349"/>
      <c r="H13" s="349"/>
      <c r="I13" s="349"/>
      <c r="J13" s="349"/>
      <c r="K13" s="349"/>
      <c r="L13" s="349"/>
      <c r="M13" s="349"/>
      <c r="N13" s="349"/>
      <c r="O13" s="350"/>
      <c r="AZ13" s="108"/>
    </row>
    <row r="14" spans="1:52" x14ac:dyDescent="0.35">
      <c r="A14" s="1"/>
      <c r="B14" s="393"/>
      <c r="C14" s="394"/>
      <c r="D14" s="410" t="s">
        <v>173</v>
      </c>
      <c r="E14" s="411"/>
      <c r="F14" s="412"/>
      <c r="G14" s="408" t="s">
        <v>246</v>
      </c>
      <c r="H14" s="338"/>
      <c r="I14" s="338"/>
      <c r="J14" s="338"/>
      <c r="K14" s="338"/>
      <c r="L14" s="338"/>
      <c r="M14" s="338"/>
      <c r="N14" s="409"/>
      <c r="O14" s="357"/>
      <c r="AZ14" s="108"/>
    </row>
    <row r="15" spans="1:52" x14ac:dyDescent="0.35">
      <c r="A15" s="1"/>
      <c r="B15" s="418" t="s">
        <v>52</v>
      </c>
      <c r="C15" s="419"/>
      <c r="D15" s="427" t="str">
        <f>IF('Data input'!D18="Select Functional Unit above","",'Data input'!D18)</f>
        <v xml:space="preserve">kWth </v>
      </c>
      <c r="E15" s="428"/>
      <c r="F15" s="429"/>
      <c r="G15" s="434">
        <f>'Data input'!G18</f>
        <v>5500</v>
      </c>
      <c r="H15" s="435"/>
      <c r="I15" s="435"/>
      <c r="J15" s="435"/>
      <c r="K15" s="435"/>
      <c r="L15" s="435"/>
      <c r="M15" s="435"/>
      <c r="N15" s="436"/>
      <c r="O15" s="437"/>
      <c r="AZ15" s="108"/>
    </row>
    <row r="16" spans="1:52" ht="16" thickBot="1" x14ac:dyDescent="0.4">
      <c r="A16" s="1"/>
      <c r="B16" s="87"/>
      <c r="C16" s="122"/>
      <c r="D16" s="430"/>
      <c r="E16" s="431"/>
      <c r="F16" s="432"/>
      <c r="G16" s="444">
        <f>IF('Data input'!G18="","Min",MIN('Data input'!G18:K18))</f>
        <v>5500</v>
      </c>
      <c r="H16" s="445"/>
      <c r="I16" s="445"/>
      <c r="J16" s="445" t="s">
        <v>247</v>
      </c>
      <c r="K16" s="445"/>
      <c r="L16" s="445"/>
      <c r="M16" s="445">
        <f>IF('Data input'!G18="","Max",MAX('Data input'!G18:K18))</f>
        <v>5500</v>
      </c>
      <c r="N16" s="446"/>
      <c r="O16" s="447"/>
      <c r="AZ16" s="108"/>
    </row>
    <row r="17" spans="1:52" x14ac:dyDescent="0.35">
      <c r="A17" s="1"/>
      <c r="B17" s="88"/>
      <c r="C17" s="123"/>
      <c r="D17" s="423" t="str">
        <f>IF('Data input'!D21="Select Functional Unit above","",'Data input'!D21)</f>
        <v xml:space="preserve">kWth </v>
      </c>
      <c r="E17" s="424"/>
      <c r="F17" s="448" t="str">
        <f>IF('Data input'!F21="Please select the region","",'Data input'!F21)</f>
        <v/>
      </c>
      <c r="G17" s="358" t="s">
        <v>248</v>
      </c>
      <c r="H17" s="338"/>
      <c r="I17" s="338"/>
      <c r="J17" s="338">
        <v>2030</v>
      </c>
      <c r="K17" s="338"/>
      <c r="L17" s="338"/>
      <c r="M17" s="338">
        <v>2050</v>
      </c>
      <c r="N17" s="338"/>
      <c r="O17" s="357"/>
      <c r="AZ17" s="108"/>
    </row>
    <row r="18" spans="1:52" x14ac:dyDescent="0.35">
      <c r="A18" s="1"/>
      <c r="B18" s="88" t="s">
        <v>57</v>
      </c>
      <c r="C18" s="124"/>
      <c r="D18" s="425"/>
      <c r="E18" s="426"/>
      <c r="F18" s="449"/>
      <c r="G18" s="422">
        <f>'Data input'!G22</f>
        <v>0</v>
      </c>
      <c r="H18" s="355"/>
      <c r="I18" s="355"/>
      <c r="J18" s="355">
        <f>'Data input'!L22</f>
        <v>0</v>
      </c>
      <c r="K18" s="355"/>
      <c r="L18" s="355"/>
      <c r="M18" s="355">
        <f>'Data input'!Q22</f>
        <v>0</v>
      </c>
      <c r="N18" s="355"/>
      <c r="O18" s="356"/>
      <c r="AZ18" s="108"/>
    </row>
    <row r="19" spans="1:52" ht="16" thickBot="1" x14ac:dyDescent="0.4">
      <c r="A19" s="1"/>
      <c r="B19" s="87"/>
      <c r="C19" s="122"/>
      <c r="D19" s="425"/>
      <c r="E19" s="426"/>
      <c r="F19" s="449"/>
      <c r="G19" s="105" t="str">
        <f>IF('Data input'!G22="","Min",MIN('Data input'!G22:K22))</f>
        <v>Min</v>
      </c>
      <c r="H19" s="173" t="s">
        <v>247</v>
      </c>
      <c r="I19" s="173" t="str">
        <f>IF('Data input'!G22="","Max",MAX('Data input'!G22:K22))</f>
        <v>Max</v>
      </c>
      <c r="J19" s="173" t="str">
        <f>IF('Data input'!L22="","Min",MIN('Data input'!L22:P22))</f>
        <v>Min</v>
      </c>
      <c r="K19" s="173" t="s">
        <v>247</v>
      </c>
      <c r="L19" s="173" t="str">
        <f>IF('Data input'!L22="","Max",MAX('Data input'!L22:P22))</f>
        <v>Max</v>
      </c>
      <c r="M19" s="173" t="str">
        <f>IF('Data input'!Q22="","Min",MIN('Data input'!Q22:U22))</f>
        <v>Min</v>
      </c>
      <c r="N19" s="173" t="s">
        <v>247</v>
      </c>
      <c r="O19" s="125" t="str">
        <f>IF('Data input'!Q22="","Max",MAX('Data input'!Q22:U22))</f>
        <v>Max</v>
      </c>
      <c r="AZ19" s="108"/>
    </row>
    <row r="20" spans="1:52" x14ac:dyDescent="0.35">
      <c r="A20" s="1"/>
      <c r="B20" s="88" t="s">
        <v>188</v>
      </c>
      <c r="C20" s="124"/>
      <c r="D20" s="469" t="s">
        <v>189</v>
      </c>
      <c r="E20" s="470"/>
      <c r="F20" s="472" t="str">
        <f>IF('Data input'!F24="Specify here the market","",'Data input'!F24)</f>
        <v/>
      </c>
      <c r="G20" s="422">
        <f>'Data input'!G24</f>
        <v>0</v>
      </c>
      <c r="H20" s="355"/>
      <c r="I20" s="355"/>
      <c r="J20" s="355">
        <f>'Data input'!L24</f>
        <v>0</v>
      </c>
      <c r="K20" s="355"/>
      <c r="L20" s="355"/>
      <c r="M20" s="355">
        <f>'Data input'!Q24</f>
        <v>0</v>
      </c>
      <c r="N20" s="355"/>
      <c r="O20" s="356"/>
      <c r="AZ20" s="108"/>
    </row>
    <row r="21" spans="1:52" ht="16" thickBot="1" x14ac:dyDescent="0.4">
      <c r="A21" s="1"/>
      <c r="B21" s="88"/>
      <c r="C21" s="124"/>
      <c r="D21" s="430"/>
      <c r="E21" s="471"/>
      <c r="F21" s="473"/>
      <c r="G21" s="126" t="str">
        <f>IF('Data input'!G24="","Min",MIN('Data input'!G24:K24))</f>
        <v>Min</v>
      </c>
      <c r="H21" s="127" t="s">
        <v>247</v>
      </c>
      <c r="I21" s="127" t="str">
        <f>IF('Data input'!G24="","Max",MAX('Data input'!G24:K24))</f>
        <v>Max</v>
      </c>
      <c r="J21" s="127" t="str">
        <f>IF('Data input'!L24="","Min",MIN('Data input'!L24:P24))</f>
        <v>Min</v>
      </c>
      <c r="K21" s="127" t="s">
        <v>247</v>
      </c>
      <c r="L21" s="127" t="str">
        <f>IF('Data input'!L24="","Max",MAX('Data input'!L24:P24))</f>
        <v>Max</v>
      </c>
      <c r="M21" s="127" t="str">
        <f>IF('Data input'!Q24="","Min",MIN('Data input'!Q24:U24))</f>
        <v>Min</v>
      </c>
      <c r="N21" s="127" t="s">
        <v>247</v>
      </c>
      <c r="O21" s="128" t="str">
        <f>IF('Data input'!Q24="","Max",MAX('Data input'!Q24:U24))</f>
        <v>Max</v>
      </c>
      <c r="AZ21" s="108"/>
    </row>
    <row r="22" spans="1:52" ht="16" thickBot="1" x14ac:dyDescent="0.4">
      <c r="A22" s="1"/>
      <c r="B22" s="413" t="s">
        <v>249</v>
      </c>
      <c r="C22" s="414"/>
      <c r="D22" s="415">
        <f>IF('Data input'!D26="Specify here (if not specified, value will be 1)",1,'Data input'!D26)</f>
        <v>1</v>
      </c>
      <c r="E22" s="416"/>
      <c r="F22" s="416"/>
      <c r="G22" s="416"/>
      <c r="H22" s="416"/>
      <c r="I22" s="416"/>
      <c r="J22" s="416"/>
      <c r="K22" s="416"/>
      <c r="L22" s="416"/>
      <c r="M22" s="416"/>
      <c r="N22" s="416"/>
      <c r="O22" s="417"/>
      <c r="AZ22" s="108"/>
    </row>
    <row r="23" spans="1:52" ht="16" thickBot="1" x14ac:dyDescent="0.4">
      <c r="A23" s="1"/>
      <c r="B23" s="413" t="s">
        <v>69</v>
      </c>
      <c r="C23" s="414"/>
      <c r="D23" s="453">
        <f>IF('Data input'!D27="Specify here"," ",'Data input'!D27)</f>
        <v>8000</v>
      </c>
      <c r="E23" s="454"/>
      <c r="F23" s="454"/>
      <c r="G23" s="454"/>
      <c r="H23" s="454"/>
      <c r="I23" s="454"/>
      <c r="J23" s="454"/>
      <c r="K23" s="454"/>
      <c r="L23" s="454"/>
      <c r="M23" s="454"/>
      <c r="N23" s="454"/>
      <c r="O23" s="455"/>
      <c r="AZ23" s="108"/>
    </row>
    <row r="24" spans="1:52" ht="16" thickBot="1" x14ac:dyDescent="0.4">
      <c r="A24" s="1"/>
      <c r="B24" s="413" t="s">
        <v>71</v>
      </c>
      <c r="C24" s="414"/>
      <c r="D24" s="113" t="str">
        <f>IF('Data input'!D28="Please select"," ",'Data input'!D28)</f>
        <v xml:space="preserve"> </v>
      </c>
      <c r="E24" s="466" t="str">
        <f>IF('Data input'!D29="Specify here"," ",'Data input'!D29)</f>
        <v xml:space="preserve"> </v>
      </c>
      <c r="F24" s="467"/>
      <c r="G24" s="467"/>
      <c r="H24" s="467"/>
      <c r="I24" s="467"/>
      <c r="J24" s="467"/>
      <c r="K24" s="467"/>
      <c r="L24" s="467"/>
      <c r="M24" s="467"/>
      <c r="N24" s="467"/>
      <c r="O24" s="468"/>
      <c r="AZ24" s="108"/>
    </row>
    <row r="25" spans="1:52" ht="16" thickBot="1" x14ac:dyDescent="0.4">
      <c r="A25" s="1"/>
      <c r="B25" s="413" t="s">
        <v>79</v>
      </c>
      <c r="C25" s="414"/>
      <c r="D25" s="450">
        <f>IF('Data input'!D30="Specify here"," ",'Data input'!D30)</f>
        <v>15</v>
      </c>
      <c r="E25" s="451"/>
      <c r="F25" s="451"/>
      <c r="G25" s="451"/>
      <c r="H25" s="451"/>
      <c r="I25" s="451"/>
      <c r="J25" s="451"/>
      <c r="K25" s="451"/>
      <c r="L25" s="451"/>
      <c r="M25" s="451"/>
      <c r="N25" s="451"/>
      <c r="O25" s="452"/>
      <c r="AZ25" s="108"/>
    </row>
    <row r="26" spans="1:52" ht="16" thickBot="1" x14ac:dyDescent="0.4">
      <c r="A26" s="1"/>
      <c r="B26" s="413" t="s">
        <v>81</v>
      </c>
      <c r="C26" s="414"/>
      <c r="D26" s="456">
        <f>IF('Data input'!D31="Specify here"," ",'Data input'!D31)</f>
        <v>0</v>
      </c>
      <c r="E26" s="457"/>
      <c r="F26" s="457"/>
      <c r="G26" s="457"/>
      <c r="H26" s="457"/>
      <c r="I26" s="457"/>
      <c r="J26" s="457"/>
      <c r="K26" s="457"/>
      <c r="L26" s="457"/>
      <c r="M26" s="457"/>
      <c r="N26" s="457"/>
      <c r="O26" s="458"/>
      <c r="AZ26" s="108"/>
    </row>
    <row r="27" spans="1:52" ht="16" thickBot="1" x14ac:dyDescent="0.4">
      <c r="A27" s="1"/>
      <c r="B27" s="413" t="s">
        <v>83</v>
      </c>
      <c r="C27" s="414"/>
      <c r="D27" s="463" t="str">
        <f>IF('Data input'!D32="Please select"," ",'Data input'!D32)</f>
        <v>No</v>
      </c>
      <c r="E27" s="464"/>
      <c r="F27" s="464"/>
      <c r="G27" s="464"/>
      <c r="H27" s="464"/>
      <c r="I27" s="464"/>
      <c r="J27" s="464"/>
      <c r="K27" s="464"/>
      <c r="L27" s="464"/>
      <c r="M27" s="464"/>
      <c r="N27" s="464"/>
      <c r="O27" s="465"/>
      <c r="AZ27" s="108"/>
    </row>
    <row r="28" spans="1:52" ht="113.25" customHeight="1" thickBot="1" x14ac:dyDescent="0.4">
      <c r="A28" s="1"/>
      <c r="B28" s="461" t="s">
        <v>194</v>
      </c>
      <c r="C28" s="462"/>
      <c r="D28" s="378" t="str">
        <f>IF('Data input'!D33="Explain here (e.g. other technical dimensions, region covered for potential such as NL or EU)"," ",'Data input'!D33)</f>
        <v>The capacity and the potential refers to kWth biogas. Thus, the potential is presented as biogas potential of organic waste streams (excluding manure) and it is the same for all  digestion related pathways, excluding manure digestion. The potential above refers to the total biogas potential from VGI, GFT&amp;ONF, straw, other agricultural residues and energy crops. DNV GL defines the potential for 2023 and 2035. The 2023 data is presented as 2020 and 2035 data as 2030 potential. Aquatic biomass potential is not included in the figures. Elbersen et al (2015) also do not include aquatic biomass. Routekaart Hernieuwbaar Gas report considers a small value (0,1 PJ biogas) for seaweed in 2020 increasing to 16.7 PJ in 2030.  DNV GL (2017) indicates  aquatic biomass potential to be around 18PJ in 2023, increasing to  53 PJ in 2030.
The wet biomass potential ratio among the sectors industry, households and  agriculture  are  38%, 36%, 26% in 2020 and 34%, 32%, 34% in 2030, respectively.  </v>
      </c>
      <c r="E28" s="379"/>
      <c r="F28" s="379"/>
      <c r="G28" s="379"/>
      <c r="H28" s="379"/>
      <c r="I28" s="379"/>
      <c r="J28" s="379"/>
      <c r="K28" s="379"/>
      <c r="L28" s="379"/>
      <c r="M28" s="379"/>
      <c r="N28" s="379"/>
      <c r="O28" s="380"/>
      <c r="AZ28" s="108" t="str">
        <f>D28</f>
        <v>The capacity and the potential refers to kWth biogas. Thus, the potential is presented as biogas potential of organic waste streams (excluding manure) and it is the same for all  digestion related pathways, excluding manure digestion. The potential above refers to the total biogas potential from VGI, GFT&amp;ONF, straw, other agricultural residues and energy crops. DNV GL defines the potential for 2023 and 2035. The 2023 data is presented as 2020 and 2035 data as 2030 potential. Aquatic biomass potential is not included in the figures. Elbersen et al (2015) also do not include aquatic biomass. Routekaart Hernieuwbaar Gas report considers a small value (0,1 PJ biogas) for seaweed in 2020 increasing to 16.7 PJ in 2030.  DNV GL (2017) indicates  aquatic biomass potential to be around 18PJ in 2023, increasing to  53 PJ in 2030.
The wet biomass potential ratio among the sectors industry, households and  agriculture  are  38%, 36%, 26% in 2020 and 34%, 32%, 34% in 2030, respectively.  </v>
      </c>
    </row>
    <row r="29" spans="1:52" ht="16" thickBot="1" x14ac:dyDescent="0.4">
      <c r="A29" s="1"/>
      <c r="B29" s="347" t="s">
        <v>86</v>
      </c>
      <c r="C29" s="348"/>
      <c r="D29" s="348"/>
      <c r="E29" s="348"/>
      <c r="F29" s="348"/>
      <c r="G29" s="348"/>
      <c r="H29" s="348"/>
      <c r="I29" s="348"/>
      <c r="J29" s="348"/>
      <c r="K29" s="348"/>
      <c r="L29" s="348"/>
      <c r="M29" s="348"/>
      <c r="N29" s="348"/>
      <c r="O29" s="433"/>
      <c r="AZ29" s="108"/>
    </row>
    <row r="30" spans="1:52" ht="16" thickBot="1" x14ac:dyDescent="0.4">
      <c r="A30" s="1"/>
      <c r="B30" s="420" t="s">
        <v>87</v>
      </c>
      <c r="C30" s="421"/>
      <c r="D30" s="438">
        <v>2015</v>
      </c>
      <c r="E30" s="439"/>
      <c r="F30" s="439"/>
      <c r="G30" s="439"/>
      <c r="H30" s="439"/>
      <c r="I30" s="439"/>
      <c r="J30" s="439"/>
      <c r="K30" s="439"/>
      <c r="L30" s="439"/>
      <c r="M30" s="439"/>
      <c r="N30" s="439"/>
      <c r="O30" s="440"/>
      <c r="AZ30" s="108"/>
    </row>
    <row r="31" spans="1:52" x14ac:dyDescent="0.35">
      <c r="A31" s="1"/>
      <c r="B31" s="351" t="s">
        <v>90</v>
      </c>
      <c r="C31" s="352"/>
      <c r="D31" s="441" t="s">
        <v>250</v>
      </c>
      <c r="E31" s="442"/>
      <c r="F31" s="443"/>
      <c r="G31" s="338" t="s">
        <v>248</v>
      </c>
      <c r="H31" s="338"/>
      <c r="I31" s="338"/>
      <c r="J31" s="338">
        <v>2030</v>
      </c>
      <c r="K31" s="338"/>
      <c r="L31" s="338"/>
      <c r="M31" s="338">
        <v>2050</v>
      </c>
      <c r="N31" s="338"/>
      <c r="O31" s="357"/>
      <c r="AZ31" s="108"/>
    </row>
    <row r="32" spans="1:52" x14ac:dyDescent="0.35">
      <c r="A32" s="1"/>
      <c r="B32" s="353"/>
      <c r="C32" s="354"/>
      <c r="D32" s="459" t="s">
        <v>458</v>
      </c>
      <c r="E32" s="238" t="str">
        <f>IF('Data input'!D15="Please select"," ",'Data input'!D15)</f>
        <v xml:space="preserve">kWth </v>
      </c>
      <c r="F32" s="239"/>
      <c r="G32" s="488">
        <f>'Data input'!G37</f>
        <v>877.1</v>
      </c>
      <c r="H32" s="373"/>
      <c r="I32" s="373"/>
      <c r="J32" s="355">
        <f>'Data input'!L37</f>
        <v>866.7</v>
      </c>
      <c r="K32" s="355"/>
      <c r="L32" s="355"/>
      <c r="M32" s="355">
        <f>'Data input'!Q37</f>
        <v>835.5</v>
      </c>
      <c r="N32" s="355"/>
      <c r="O32" s="356"/>
      <c r="AZ32" s="108"/>
    </row>
    <row r="33" spans="1:52" ht="16" thickBot="1" x14ac:dyDescent="0.4">
      <c r="A33" s="1"/>
      <c r="B33" s="361"/>
      <c r="C33" s="362"/>
      <c r="D33" s="460"/>
      <c r="E33" s="241"/>
      <c r="F33" s="242"/>
      <c r="G33" s="172">
        <f>IF('Data input'!G37="","Min",MIN('Data input'!G37:K37))</f>
        <v>877.1</v>
      </c>
      <c r="H33" s="173" t="s">
        <v>247</v>
      </c>
      <c r="I33" s="173">
        <f>IF('Data input'!G37="","Max",MAX('Data input'!G37:K37))</f>
        <v>3030</v>
      </c>
      <c r="J33" s="173">
        <f>IF('Data input'!L37="","Min",MIN('Data input'!L37:P37))</f>
        <v>866.7</v>
      </c>
      <c r="K33" s="173" t="s">
        <v>247</v>
      </c>
      <c r="L33" s="173">
        <f>IF('Data input'!L37="","Max",MAX('Data input'!L37:P37))</f>
        <v>3000</v>
      </c>
      <c r="M33" s="173">
        <f>IF('Data input'!Q37="","Min",MIN('Data input'!Q37:U37))</f>
        <v>835.5</v>
      </c>
      <c r="N33" s="173" t="s">
        <v>247</v>
      </c>
      <c r="O33" s="125">
        <f>IF('Data input'!Q37="","Max",MAX('Data input'!Q37:U37))</f>
        <v>2930</v>
      </c>
      <c r="AZ33" s="108"/>
    </row>
    <row r="34" spans="1:52" x14ac:dyDescent="0.35">
      <c r="A34" s="1"/>
      <c r="B34" s="480" t="s">
        <v>205</v>
      </c>
      <c r="C34" s="481"/>
      <c r="D34" s="459" t="s">
        <v>460</v>
      </c>
      <c r="E34" s="238" t="str">
        <f>IF('Data input'!D15="Please select"," ",'Data input'!D15)</f>
        <v xml:space="preserve">kWth </v>
      </c>
      <c r="F34" s="239"/>
      <c r="G34" s="373">
        <f>'Data input'!G39</f>
        <v>229.5</v>
      </c>
      <c r="H34" s="373"/>
      <c r="I34" s="373"/>
      <c r="J34" s="355">
        <f>'Data input'!L39</f>
        <v>0</v>
      </c>
      <c r="K34" s="355"/>
      <c r="L34" s="355"/>
      <c r="M34" s="355">
        <f>'Data input'!Q39</f>
        <v>0</v>
      </c>
      <c r="N34" s="355"/>
      <c r="O34" s="356"/>
      <c r="AZ34" s="108"/>
    </row>
    <row r="35" spans="1:52" ht="16" thickBot="1" x14ac:dyDescent="0.4">
      <c r="A35" s="1"/>
      <c r="B35" s="482"/>
      <c r="C35" s="483"/>
      <c r="D35" s="460"/>
      <c r="E35" s="241"/>
      <c r="F35" s="242"/>
      <c r="G35" s="172">
        <f>IF('Data input'!G39="","Min",MIN('Data input'!G39:K39))</f>
        <v>229.5</v>
      </c>
      <c r="H35" s="173" t="s">
        <v>247</v>
      </c>
      <c r="I35" s="173">
        <f>IF('Data input'!G39="","Max",MAX('Data input'!G39:K39))</f>
        <v>229.5</v>
      </c>
      <c r="J35" s="173" t="str">
        <f>IF('Data input'!L39="","Min",MIN('Data input'!L39:P39))</f>
        <v>Min</v>
      </c>
      <c r="K35" s="173" t="s">
        <v>247</v>
      </c>
      <c r="L35" s="173" t="str">
        <f>IF('Data input'!L39="","Max",MAX('Data input'!L39:P39))</f>
        <v>Max</v>
      </c>
      <c r="M35" s="173" t="str">
        <f>IF('Data input'!Q39="","Min",MIN('Data input'!Q39:U39))</f>
        <v>Min</v>
      </c>
      <c r="N35" s="173" t="s">
        <v>247</v>
      </c>
      <c r="O35" s="125" t="str">
        <f>IF('Data input'!Q39="","Max",MAX('Data input'!Q39:U39))</f>
        <v>Max</v>
      </c>
      <c r="AZ35" s="108"/>
    </row>
    <row r="36" spans="1:52" x14ac:dyDescent="0.35">
      <c r="A36" s="1"/>
      <c r="B36" s="351" t="s">
        <v>251</v>
      </c>
      <c r="C36" s="352"/>
      <c r="D36" s="459" t="s">
        <v>458</v>
      </c>
      <c r="E36" s="238" t="str">
        <f>IF('Data input'!D15="Please select"," ",'Data input'!D15)</f>
        <v xml:space="preserve">kWth </v>
      </c>
      <c r="F36" s="239"/>
      <c r="G36" s="373">
        <f>'Data input'!G41</f>
        <v>78.900000000000006</v>
      </c>
      <c r="H36" s="373"/>
      <c r="I36" s="373"/>
      <c r="J36" s="355">
        <f>'Data input'!L41</f>
        <v>62.6</v>
      </c>
      <c r="K36" s="355"/>
      <c r="L36" s="355"/>
      <c r="M36" s="355">
        <f>'Data input'!Q41</f>
        <v>58.9</v>
      </c>
      <c r="N36" s="355"/>
      <c r="O36" s="356"/>
      <c r="AZ36" s="108"/>
    </row>
    <row r="37" spans="1:52" ht="16" thickBot="1" x14ac:dyDescent="0.4">
      <c r="A37" s="1"/>
      <c r="B37" s="361"/>
      <c r="C37" s="362"/>
      <c r="D37" s="460"/>
      <c r="E37" s="241"/>
      <c r="F37" s="242"/>
      <c r="G37" s="172">
        <f>IF('Data input'!G41="","Min",MIN('Data input'!G41:K41))</f>
        <v>78.900000000000006</v>
      </c>
      <c r="H37" s="173" t="s">
        <v>247</v>
      </c>
      <c r="I37" s="173">
        <f>IF('Data input'!G41="","Max",MAX('Data input'!G41:K41))</f>
        <v>121.2</v>
      </c>
      <c r="J37" s="173">
        <f>IF('Data input'!L41="","Min",MIN('Data input'!L41:P41))</f>
        <v>62.6</v>
      </c>
      <c r="K37" s="173" t="s">
        <v>247</v>
      </c>
      <c r="L37" s="173">
        <f>IF('Data input'!L41="","Max",MAX('Data input'!L41:P41))</f>
        <v>120</v>
      </c>
      <c r="M37" s="173">
        <f>IF('Data input'!Q41="","Min",MIN('Data input'!Q41:U41))</f>
        <v>58.9</v>
      </c>
      <c r="N37" s="173" t="s">
        <v>247</v>
      </c>
      <c r="O37" s="125">
        <f>IF('Data input'!Q41="","Max",MAX('Data input'!Q41:U41))</f>
        <v>120</v>
      </c>
      <c r="AZ37" s="108"/>
    </row>
    <row r="38" spans="1:52" x14ac:dyDescent="0.35">
      <c r="A38" s="1"/>
      <c r="B38" s="351" t="s">
        <v>207</v>
      </c>
      <c r="C38" s="352"/>
      <c r="D38" s="459" t="s">
        <v>458</v>
      </c>
      <c r="E38" s="238" t="str">
        <f>IF('Data input'!D15="Please select"," ",'Data input'!D15)</f>
        <v xml:space="preserve">kWth </v>
      </c>
      <c r="F38" s="239"/>
      <c r="G38" s="373">
        <f>'Data input'!G43</f>
        <v>12.7</v>
      </c>
      <c r="H38" s="373"/>
      <c r="I38" s="373"/>
      <c r="J38" s="355">
        <f>'Data input'!L43</f>
        <v>12.7</v>
      </c>
      <c r="K38" s="355"/>
      <c r="L38" s="355"/>
      <c r="M38" s="355">
        <f>'Data input'!Q43</f>
        <v>12.7</v>
      </c>
      <c r="N38" s="355"/>
      <c r="O38" s="356"/>
      <c r="AZ38" s="108"/>
    </row>
    <row r="39" spans="1:52" ht="16" thickBot="1" x14ac:dyDescent="0.4">
      <c r="A39" s="1"/>
      <c r="B39" s="361"/>
      <c r="C39" s="362"/>
      <c r="D39" s="494"/>
      <c r="E39" s="478"/>
      <c r="F39" s="479"/>
      <c r="G39" s="129">
        <f>IF('Data input'!G43="","Min",MIN('Data input'!G43:K43))</f>
        <v>12.7</v>
      </c>
      <c r="H39" s="127" t="s">
        <v>247</v>
      </c>
      <c r="I39" s="127">
        <f>IF('Data input'!G43="","Max",MAX('Data input'!G43:K43))</f>
        <v>12.7</v>
      </c>
      <c r="J39" s="127">
        <f>IF('Data input'!L43="","Min",MIN('Data input'!L43:P43))</f>
        <v>12.7</v>
      </c>
      <c r="K39" s="127" t="s">
        <v>247</v>
      </c>
      <c r="L39" s="127">
        <f>IF('Data input'!L43="","Max",MAX('Data input'!L43:P43))</f>
        <v>12.7</v>
      </c>
      <c r="M39" s="127">
        <f>IF('Data input'!Q43="","Min",MIN('Data input'!Q43:U43))</f>
        <v>12.7</v>
      </c>
      <c r="N39" s="127" t="s">
        <v>247</v>
      </c>
      <c r="O39" s="128">
        <f>IF('Data input'!Q43="","Max",MAX('Data input'!Q43:U43))</f>
        <v>12.7</v>
      </c>
      <c r="AZ39" s="108"/>
    </row>
    <row r="40" spans="1:52" ht="109" thickBot="1" x14ac:dyDescent="0.4">
      <c r="A40" s="1"/>
      <c r="B40" s="364" t="s">
        <v>209</v>
      </c>
      <c r="C40" s="365"/>
      <c r="D40" s="370" t="str">
        <f>IF('Data input'!D45="Explain here (e.g. other costs)"," ",'Data input'!D45)</f>
        <v xml:space="preserve">kWth refers to kWth input. The costs data are converted to 2015 as they were from 2018. 
Potential cost reductions are based on the  ETRI database. ETRI indicates cost reduction for anaerobic digestion installations  to be in the range of 2,1%-0,5% per year for the first 5 years and 0,1-0,6% per year for the following years. We apply the baseline cost reduction rates of ETRI. 
It is important to highlight that ETRI neither distinguishes between different digestion options nor explains how the CAPEX were determined. Therefore it is not possible to clarify why this dataset presents higher figures.  Next to that they only refer to anaerobic digestion related CAPEX and OPEX, whereas SDE+ data also include cost of a gas motor. Therefore a direct comparison of the datasets are not possible. </v>
      </c>
      <c r="E40" s="371"/>
      <c r="F40" s="371"/>
      <c r="G40" s="371"/>
      <c r="H40" s="371"/>
      <c r="I40" s="371"/>
      <c r="J40" s="371"/>
      <c r="K40" s="371"/>
      <c r="L40" s="371"/>
      <c r="M40" s="371"/>
      <c r="N40" s="371"/>
      <c r="O40" s="372"/>
      <c r="AZ40" s="108" t="str">
        <f>D40</f>
        <v xml:space="preserve">kWth refers to kWth input. The costs data are converted to 2015 as they were from 2018. 
Potential cost reductions are based on the  ETRI database. ETRI indicates cost reduction for anaerobic digestion installations  to be in the range of 2,1%-0,5% per year for the first 5 years and 0,1-0,6% per year for the following years. We apply the baseline cost reduction rates of ETRI. 
It is important to highlight that ETRI neither distinguishes between different digestion options nor explains how the CAPEX were determined. Therefore it is not possible to clarify why this dataset presents higher figures.  Next to that they only refer to anaerobic digestion related CAPEX and OPEX, whereas SDE+ data also include cost of a gas motor. Therefore a direct comparison of the datasets are not possible. </v>
      </c>
    </row>
    <row r="41" spans="1:52" ht="16" thickBot="1" x14ac:dyDescent="0.4">
      <c r="A41" s="1"/>
      <c r="B41" s="366" t="s">
        <v>104</v>
      </c>
      <c r="C41" s="367"/>
      <c r="D41" s="368"/>
      <c r="E41" s="368"/>
      <c r="F41" s="368"/>
      <c r="G41" s="368"/>
      <c r="H41" s="368"/>
      <c r="I41" s="368"/>
      <c r="J41" s="368"/>
      <c r="K41" s="368"/>
      <c r="L41" s="368"/>
      <c r="M41" s="368"/>
      <c r="N41" s="368"/>
      <c r="O41" s="369"/>
      <c r="AZ41" s="108"/>
    </row>
    <row r="42" spans="1:52" x14ac:dyDescent="0.35">
      <c r="A42" s="1"/>
      <c r="B42" s="351" t="s">
        <v>214</v>
      </c>
      <c r="C42" s="352"/>
      <c r="D42" s="441" t="s">
        <v>212</v>
      </c>
      <c r="E42" s="443"/>
      <c r="F42" s="171" t="s">
        <v>213</v>
      </c>
      <c r="G42" s="338" t="s">
        <v>248</v>
      </c>
      <c r="H42" s="338"/>
      <c r="I42" s="338"/>
      <c r="J42" s="338">
        <v>2030</v>
      </c>
      <c r="K42" s="338"/>
      <c r="L42" s="338"/>
      <c r="M42" s="338">
        <v>2050</v>
      </c>
      <c r="N42" s="338"/>
      <c r="O42" s="357"/>
      <c r="AZ42" s="108"/>
    </row>
    <row r="43" spans="1:52" x14ac:dyDescent="0.35">
      <c r="A43" s="1"/>
      <c r="B43" s="353"/>
      <c r="C43" s="354"/>
      <c r="D43" s="486" t="s">
        <v>252</v>
      </c>
      <c r="E43" s="487"/>
      <c r="F43" s="300" t="s">
        <v>140</v>
      </c>
      <c r="G43" s="363">
        <f>'Data input'!G49</f>
        <v>-0.41</v>
      </c>
      <c r="H43" s="355"/>
      <c r="I43" s="355"/>
      <c r="J43" s="363">
        <f>'Data input'!L49</f>
        <v>0</v>
      </c>
      <c r="K43" s="355"/>
      <c r="L43" s="355"/>
      <c r="M43" s="355">
        <f>'Data input'!Q49</f>
        <v>0</v>
      </c>
      <c r="N43" s="355"/>
      <c r="O43" s="356"/>
      <c r="P43" s="79"/>
      <c r="AZ43" s="108"/>
    </row>
    <row r="44" spans="1:52" x14ac:dyDescent="0.35">
      <c r="A44" s="1"/>
      <c r="B44" s="353"/>
      <c r="C44" s="354"/>
      <c r="D44" s="484" t="str">
        <f>IF('Data input'!D49="Please select main output here"," ",'Data input'!D49)</f>
        <v>Electricity</v>
      </c>
      <c r="E44" s="485"/>
      <c r="F44" s="304"/>
      <c r="G44" s="172">
        <f>IF('Data input'!G49="","Min",MIN('Data input'!G49:K49))</f>
        <v>-0.41</v>
      </c>
      <c r="H44" s="173" t="s">
        <v>247</v>
      </c>
      <c r="I44" s="173">
        <f>IF('Data input'!G49="","Max",MAX('Data input'!G49:K49))</f>
        <v>-0.41</v>
      </c>
      <c r="J44" s="173" t="str">
        <f>IF('Data input'!L49="","Min",MIN('Data input'!L49:P49))</f>
        <v>Min</v>
      </c>
      <c r="K44" s="173" t="s">
        <v>247</v>
      </c>
      <c r="L44" s="173" t="str">
        <f>IF('Data input'!L49="","Max",MAX('Data input'!L49:P49))</f>
        <v>Max</v>
      </c>
      <c r="M44" s="173" t="str">
        <f>IF('Data input'!Q49="","Min",MIN('Data input'!Q49:U49))</f>
        <v>Min</v>
      </c>
      <c r="N44" s="173" t="s">
        <v>247</v>
      </c>
      <c r="O44" s="125" t="str">
        <f>IF('Data input'!Q49="","Max",MAX('Data input'!Q49:U49))</f>
        <v>Max</v>
      </c>
      <c r="AZ44" s="108"/>
    </row>
    <row r="45" spans="1:52" x14ac:dyDescent="0.35">
      <c r="A45" s="1"/>
      <c r="B45" s="353"/>
      <c r="C45" s="354"/>
      <c r="D45" s="489" t="str">
        <f>IF('Data input'!D51="Please select"," ",'Data input'!D51)</f>
        <v>Heat</v>
      </c>
      <c r="E45" s="490"/>
      <c r="F45" s="305" t="s">
        <v>140</v>
      </c>
      <c r="G45" s="355">
        <f>'Data input'!G51</f>
        <v>-0.44</v>
      </c>
      <c r="H45" s="355"/>
      <c r="I45" s="355"/>
      <c r="J45" s="363">
        <f>'Data input'!L51</f>
        <v>0</v>
      </c>
      <c r="K45" s="355"/>
      <c r="L45" s="355"/>
      <c r="M45" s="355">
        <f>'Data input'!Q51</f>
        <v>0</v>
      </c>
      <c r="N45" s="355"/>
      <c r="O45" s="356"/>
      <c r="AZ45" s="108"/>
    </row>
    <row r="46" spans="1:52" x14ac:dyDescent="0.35">
      <c r="A46" s="1"/>
      <c r="B46" s="353"/>
      <c r="C46" s="354"/>
      <c r="D46" s="476"/>
      <c r="E46" s="477"/>
      <c r="F46" s="307"/>
      <c r="G46" s="172">
        <f>IF('Data input'!G51="","Min",MIN('Data input'!G51:K51))</f>
        <v>-0.44</v>
      </c>
      <c r="H46" s="173" t="s">
        <v>247</v>
      </c>
      <c r="I46" s="173">
        <f>IF('Data input'!G51="","Max",MAX('Data input'!G51:K51))</f>
        <v>-0.44</v>
      </c>
      <c r="J46" s="173" t="str">
        <f>IF('Data input'!L51="","Min",MIN('Data input'!L51:P51))</f>
        <v>Min</v>
      </c>
      <c r="K46" s="173" t="s">
        <v>247</v>
      </c>
      <c r="L46" s="173" t="str">
        <f>IF('Data input'!L51="","Max",MAX('Data input'!L51:P51))</f>
        <v>Max</v>
      </c>
      <c r="M46" s="173" t="str">
        <f>IF('Data input'!Q51="","Min",MIN('Data input'!Q51:U51))</f>
        <v>Min</v>
      </c>
      <c r="N46" s="173" t="s">
        <v>247</v>
      </c>
      <c r="O46" s="125" t="str">
        <f>IF('Data input'!Q51="","Max",MAX('Data input'!Q51:U51))</f>
        <v>Max</v>
      </c>
      <c r="AZ46" s="108"/>
    </row>
    <row r="47" spans="1:52" x14ac:dyDescent="0.35">
      <c r="A47" s="1"/>
      <c r="B47" s="353"/>
      <c r="C47" s="354"/>
      <c r="D47" s="474" t="str">
        <f>IF('Data input'!D53="Please select"," ",'Data input'!D53)</f>
        <v>Biogas (wet streams)</v>
      </c>
      <c r="E47" s="475"/>
      <c r="F47" s="305" t="s">
        <v>140</v>
      </c>
      <c r="G47" s="355">
        <f>'Data input'!G53</f>
        <v>1</v>
      </c>
      <c r="H47" s="355"/>
      <c r="I47" s="355"/>
      <c r="J47" s="363">
        <f>'Data input'!L53</f>
        <v>0</v>
      </c>
      <c r="K47" s="355"/>
      <c r="L47" s="355"/>
      <c r="M47" s="355">
        <f>'Data input'!Q53</f>
        <v>0</v>
      </c>
      <c r="N47" s="355"/>
      <c r="O47" s="356"/>
      <c r="AZ47" s="108"/>
    </row>
    <row r="48" spans="1:52" x14ac:dyDescent="0.35">
      <c r="A48" s="1"/>
      <c r="B48" s="353"/>
      <c r="C48" s="354"/>
      <c r="D48" s="476"/>
      <c r="E48" s="477"/>
      <c r="F48" s="307"/>
      <c r="G48" s="172">
        <f>IF('Data input'!G53="","Min",MIN('Data input'!G53:K53))</f>
        <v>1</v>
      </c>
      <c r="H48" s="173" t="s">
        <v>247</v>
      </c>
      <c r="I48" s="173">
        <f>IF('Data input'!G53="","Max",MAX('Data input'!G53:K53))</f>
        <v>1</v>
      </c>
      <c r="J48" s="173" t="str">
        <f>IF('Data input'!L53="","Min",MIN('Data input'!L53:P53))</f>
        <v>Min</v>
      </c>
      <c r="K48" s="173" t="s">
        <v>247</v>
      </c>
      <c r="L48" s="173" t="str">
        <f>IF('Data input'!L53="","Max",MAX('Data input'!L53:P53))</f>
        <v>Max</v>
      </c>
      <c r="M48" s="173" t="str">
        <f>IF('Data input'!Q53="","Min",MIN('Data input'!Q53:U53))</f>
        <v>Min</v>
      </c>
      <c r="N48" s="173" t="s">
        <v>247</v>
      </c>
      <c r="O48" s="125" t="str">
        <f>IF('Data input'!Q53="","Max",MAX('Data input'!Q53:U53))</f>
        <v>Max</v>
      </c>
      <c r="AZ48" s="108"/>
    </row>
    <row r="49" spans="1:52" x14ac:dyDescent="0.35">
      <c r="A49" s="1"/>
      <c r="B49" s="353"/>
      <c r="C49" s="354"/>
      <c r="D49" s="474" t="str">
        <f>IF('Data input'!D55="Please select"," ",'Data input'!D55)</f>
        <v>Electricity</v>
      </c>
      <c r="E49" s="475"/>
      <c r="F49" s="305" t="s">
        <v>140</v>
      </c>
      <c r="G49" s="355">
        <f>'Data input'!G55</f>
        <v>0.02</v>
      </c>
      <c r="H49" s="355"/>
      <c r="I49" s="355"/>
      <c r="J49" s="363">
        <f>'Data input'!L55</f>
        <v>0</v>
      </c>
      <c r="K49" s="355"/>
      <c r="L49" s="355"/>
      <c r="M49" s="355">
        <f>'Data input'!Q55</f>
        <v>0</v>
      </c>
      <c r="N49" s="355"/>
      <c r="O49" s="356"/>
      <c r="AZ49" s="108"/>
    </row>
    <row r="50" spans="1:52" ht="16" thickBot="1" x14ac:dyDescent="0.4">
      <c r="A50" s="1"/>
      <c r="B50" s="353"/>
      <c r="C50" s="354"/>
      <c r="D50" s="491"/>
      <c r="E50" s="492"/>
      <c r="F50" s="493"/>
      <c r="G50" s="129">
        <f>IF('Data input'!G55="","Min",MIN('Data input'!G55:K55))</f>
        <v>0.02</v>
      </c>
      <c r="H50" s="127" t="s">
        <v>247</v>
      </c>
      <c r="I50" s="127">
        <f>IF('Data input'!G55="","Max",MAX('Data input'!G55:K55))</f>
        <v>0.02</v>
      </c>
      <c r="J50" s="127" t="str">
        <f>IF('Data input'!L55="","Min",MIN('Data input'!L55:P55))</f>
        <v>Min</v>
      </c>
      <c r="K50" s="127" t="s">
        <v>247</v>
      </c>
      <c r="L50" s="127" t="str">
        <f>IF('Data input'!L55="","Max",MAX('Data input'!L55:P55))</f>
        <v>Max</v>
      </c>
      <c r="M50" s="127" t="str">
        <f>IF('Data input'!Q55="","Min",MIN('Data input'!Q55:U55))</f>
        <v>Min</v>
      </c>
      <c r="N50" s="127" t="s">
        <v>247</v>
      </c>
      <c r="O50" s="128" t="str">
        <f>IF('Data input'!Q55="","Max",MAX('Data input'!Q55:U55))</f>
        <v>Max</v>
      </c>
      <c r="AZ50" s="108"/>
    </row>
    <row r="51" spans="1:52" ht="31.5" thickBot="1" x14ac:dyDescent="0.4">
      <c r="A51" s="1"/>
      <c r="B51" s="351" t="s">
        <v>218</v>
      </c>
      <c r="C51" s="376"/>
      <c r="D51" s="378" t="str">
        <f>IF('Data input'!D57="Explain here (e.g. flexible in and out)"," ",'Data input'!D57)</f>
        <v>In SDE+ the generic energy content of the wet biomass is assumed as 3,4 GJ/ton. Roughly 5% of biogas is used to meet the internal heat demand. The electricity demand refers to the electricity needed for the digestion process.</v>
      </c>
      <c r="E51" s="379"/>
      <c r="F51" s="379"/>
      <c r="G51" s="379"/>
      <c r="H51" s="379"/>
      <c r="I51" s="379"/>
      <c r="J51" s="379"/>
      <c r="K51" s="379"/>
      <c r="L51" s="379"/>
      <c r="M51" s="379"/>
      <c r="N51" s="379"/>
      <c r="O51" s="380"/>
      <c r="AZ51" s="108" t="str">
        <f>D51</f>
        <v>In SDE+ the generic energy content of the wet biomass is assumed as 3,4 GJ/ton. Roughly 5% of biogas is used to meet the internal heat demand. The electricity demand refers to the electricity needed for the digestion process.</v>
      </c>
    </row>
    <row r="52" spans="1:52" ht="16" thickBot="1" x14ac:dyDescent="0.4">
      <c r="A52" s="1"/>
      <c r="B52" s="347" t="s">
        <v>220</v>
      </c>
      <c r="C52" s="348"/>
      <c r="D52" s="349"/>
      <c r="E52" s="349"/>
      <c r="F52" s="349"/>
      <c r="G52" s="349"/>
      <c r="H52" s="349"/>
      <c r="I52" s="349"/>
      <c r="J52" s="349"/>
      <c r="K52" s="349"/>
      <c r="L52" s="349"/>
      <c r="M52" s="349"/>
      <c r="N52" s="349"/>
      <c r="O52" s="350"/>
      <c r="AZ52" s="108"/>
    </row>
    <row r="53" spans="1:52" x14ac:dyDescent="0.35">
      <c r="A53" s="1"/>
      <c r="B53" s="351" t="s">
        <v>221</v>
      </c>
      <c r="C53" s="352"/>
      <c r="D53" s="358" t="s">
        <v>222</v>
      </c>
      <c r="E53" s="338"/>
      <c r="F53" s="171" t="s">
        <v>213</v>
      </c>
      <c r="G53" s="338" t="s">
        <v>248</v>
      </c>
      <c r="H53" s="338"/>
      <c r="I53" s="338"/>
      <c r="J53" s="338">
        <v>2030</v>
      </c>
      <c r="K53" s="338"/>
      <c r="L53" s="338"/>
      <c r="M53" s="338">
        <v>2050</v>
      </c>
      <c r="N53" s="338"/>
      <c r="O53" s="357"/>
      <c r="AZ53" s="108"/>
    </row>
    <row r="54" spans="1:52" x14ac:dyDescent="0.35">
      <c r="A54" s="1"/>
      <c r="B54" s="353"/>
      <c r="C54" s="354"/>
      <c r="D54" s="342" t="str">
        <f>IF('Data input'!D61="Specify here"," ",'Data input'!D61)</f>
        <v>Digestate</v>
      </c>
      <c r="E54" s="343"/>
      <c r="F54" s="377" t="str">
        <f>IF('Data input'!F61="Specify here"," ",'Data input'!F61)</f>
        <v>% dry(volume)</v>
      </c>
      <c r="G54" s="360">
        <f>'Data input'!G61</f>
        <v>0.8</v>
      </c>
      <c r="H54" s="360"/>
      <c r="I54" s="360"/>
      <c r="J54" s="355">
        <f>'Data input'!L61</f>
        <v>0</v>
      </c>
      <c r="K54" s="355"/>
      <c r="L54" s="355"/>
      <c r="M54" s="355">
        <f>'Data input'!Q61</f>
        <v>0</v>
      </c>
      <c r="N54" s="355"/>
      <c r="O54" s="356"/>
      <c r="AZ54" s="108"/>
    </row>
    <row r="55" spans="1:52" x14ac:dyDescent="0.35">
      <c r="A55" s="1"/>
      <c r="B55" s="353"/>
      <c r="C55" s="354"/>
      <c r="D55" s="342"/>
      <c r="E55" s="343"/>
      <c r="F55" s="377"/>
      <c r="G55" s="186">
        <f>IF('Data input'!G61="","Min",MIN('Data input'!G61:K61))</f>
        <v>0.8</v>
      </c>
      <c r="H55" s="173" t="s">
        <v>247</v>
      </c>
      <c r="I55" s="187">
        <f>IF('Data input'!G61="","Max",MAX('Data input'!G61:K61))</f>
        <v>0.8</v>
      </c>
      <c r="J55" s="173" t="str">
        <f>IF('Data input'!L61="","Min",MIN('Data input'!L61:P61))</f>
        <v>Min</v>
      </c>
      <c r="K55" s="173" t="s">
        <v>247</v>
      </c>
      <c r="L55" s="173" t="str">
        <f>IF('Data input'!L61="","Max",MAX('Data input'!L61:P61))</f>
        <v>Max</v>
      </c>
      <c r="M55" s="173" t="str">
        <f>IF('Data input'!Q61="","Min",MIN('Data input'!Q61:U61))</f>
        <v>Min</v>
      </c>
      <c r="N55" s="173" t="s">
        <v>247</v>
      </c>
      <c r="O55" s="125" t="str">
        <f>IF('Data input'!Q61="","Max",MAX('Data input'!Q61:U61))</f>
        <v>Max</v>
      </c>
      <c r="AZ55" s="108"/>
    </row>
    <row r="56" spans="1:52" x14ac:dyDescent="0.35">
      <c r="A56" s="1"/>
      <c r="B56" s="353"/>
      <c r="C56" s="354"/>
      <c r="D56" s="342" t="str">
        <f>IF('Data input'!D63="Specify here"," ",'Data input'!D63)</f>
        <v xml:space="preserve"> </v>
      </c>
      <c r="E56" s="343"/>
      <c r="F56" s="377" t="str">
        <f>IF('Data input'!F63="Specify here"," ",'Data input'!F63)</f>
        <v xml:space="preserve"> </v>
      </c>
      <c r="G56" s="355">
        <f>'Data input'!G63</f>
        <v>0</v>
      </c>
      <c r="H56" s="355"/>
      <c r="I56" s="355"/>
      <c r="J56" s="355">
        <f>'Data input'!L63</f>
        <v>0</v>
      </c>
      <c r="K56" s="355"/>
      <c r="L56" s="355"/>
      <c r="M56" s="355">
        <f>'Data input'!Q63</f>
        <v>0</v>
      </c>
      <c r="N56" s="355"/>
      <c r="O56" s="356"/>
      <c r="AZ56" s="108"/>
    </row>
    <row r="57" spans="1:52" ht="16" thickBot="1" x14ac:dyDescent="0.4">
      <c r="A57" s="1"/>
      <c r="B57" s="353"/>
      <c r="C57" s="354"/>
      <c r="D57" s="344"/>
      <c r="E57" s="345"/>
      <c r="F57" s="504"/>
      <c r="G57" s="129" t="str">
        <f>IF('Data input'!G63="","Min",MIN('Data input'!G63:K63))</f>
        <v>Min</v>
      </c>
      <c r="H57" s="127" t="s">
        <v>247</v>
      </c>
      <c r="I57" s="127" t="str">
        <f>IF('Data input'!G63="","Max",MAX('Data input'!G63:K63))</f>
        <v>Max</v>
      </c>
      <c r="J57" s="127" t="str">
        <f>IF('Data input'!L63="","Min",MIN('Data input'!L63:P63))</f>
        <v>Min</v>
      </c>
      <c r="K57" s="127" t="s">
        <v>247</v>
      </c>
      <c r="L57" s="127" t="str">
        <f>IF('Data input'!L63="","Max",MAX('Data input'!L63:P63))</f>
        <v>Max</v>
      </c>
      <c r="M57" s="127" t="str">
        <f>IF('Data input'!Q63="","Min",MIN('Data input'!Q63:U63))</f>
        <v>Min</v>
      </c>
      <c r="N57" s="127" t="s">
        <v>247</v>
      </c>
      <c r="O57" s="128" t="str">
        <f>IF('Data input'!Q63="","Max",MAX('Data input'!Q63:U63))</f>
        <v>Max</v>
      </c>
      <c r="AZ57" s="108"/>
    </row>
    <row r="58" spans="1:52" ht="109" thickBot="1" x14ac:dyDescent="0.4">
      <c r="A58" s="1"/>
      <c r="B58" s="374" t="s">
        <v>225</v>
      </c>
      <c r="C58" s="375"/>
      <c r="D58" s="339" t="str">
        <f>IF('Data input'!D65="Explain here"," ",'Data input'!D65)</f>
        <v>Digestate can be: 
1) Composted in case the input stream consists of GFT (vegetables, fruit and garden waste) and sold to be used on agricultural land when it complies with the conditions of the Fertilizer Act. It should include no animal manure to be classified as compost.
2) Further treated in case the waste stream is organic waste. The digestate treatment mainly consists of dewatering, drying and storage. The dried product can further be pelletized and become suitable as fuel (for instance for co-firing plant). An indicative price for this fuel can be around 35 Euro/ton.</v>
      </c>
      <c r="E58" s="340"/>
      <c r="F58" s="340"/>
      <c r="G58" s="340"/>
      <c r="H58" s="340"/>
      <c r="I58" s="340"/>
      <c r="J58" s="340"/>
      <c r="K58" s="340"/>
      <c r="L58" s="340"/>
      <c r="M58" s="340"/>
      <c r="N58" s="340"/>
      <c r="O58" s="341"/>
      <c r="AZ58" s="108" t="str">
        <f>D58</f>
        <v>Digestate can be: 
1) Composted in case the input stream consists of GFT (vegetables, fruit and garden waste) and sold to be used on agricultural land when it complies with the conditions of the Fertilizer Act. It should include no animal manure to be classified as compost.
2) Further treated in case the waste stream is organic waste. The digestate treatment mainly consists of dewatering, drying and storage. The dried product can further be pelletized and become suitable as fuel (for instance for co-firing plant). An indicative price for this fuel can be around 35 Euro/ton.</v>
      </c>
    </row>
    <row r="59" spans="1:52" ht="16" thickBot="1" x14ac:dyDescent="0.4">
      <c r="A59" s="1"/>
      <c r="B59" s="347" t="s">
        <v>227</v>
      </c>
      <c r="C59" s="348"/>
      <c r="D59" s="349"/>
      <c r="E59" s="349"/>
      <c r="F59" s="349"/>
      <c r="G59" s="349"/>
      <c r="H59" s="349"/>
      <c r="I59" s="349"/>
      <c r="J59" s="349"/>
      <c r="K59" s="349"/>
      <c r="L59" s="349"/>
      <c r="M59" s="349"/>
      <c r="N59" s="349"/>
      <c r="O59" s="350"/>
      <c r="AZ59" s="108"/>
    </row>
    <row r="60" spans="1:52" x14ac:dyDescent="0.35">
      <c r="A60" s="1"/>
      <c r="B60" s="351" t="s">
        <v>116</v>
      </c>
      <c r="C60" s="352"/>
      <c r="D60" s="358" t="s">
        <v>228</v>
      </c>
      <c r="E60" s="338"/>
      <c r="F60" s="171" t="s">
        <v>213</v>
      </c>
      <c r="G60" s="338" t="s">
        <v>248</v>
      </c>
      <c r="H60" s="338"/>
      <c r="I60" s="338"/>
      <c r="J60" s="338">
        <v>2030</v>
      </c>
      <c r="K60" s="338"/>
      <c r="L60" s="338"/>
      <c r="M60" s="338">
        <v>2050</v>
      </c>
      <c r="N60" s="338"/>
      <c r="O60" s="357"/>
      <c r="AZ60" s="108"/>
    </row>
    <row r="61" spans="1:52" x14ac:dyDescent="0.35">
      <c r="A61" s="1"/>
      <c r="B61" s="353"/>
      <c r="C61" s="354"/>
      <c r="D61" s="342" t="str">
        <f>IF('Data input'!D69="Please select"," ",'Data input'!D69)</f>
        <v xml:space="preserve"> </v>
      </c>
      <c r="E61" s="343"/>
      <c r="F61" s="244" t="str">
        <f>IF('Data input'!F69="Please select"," ",'Data input'!F69)</f>
        <v xml:space="preserve"> </v>
      </c>
      <c r="G61" s="355">
        <f>'Data input'!G69</f>
        <v>0</v>
      </c>
      <c r="H61" s="355"/>
      <c r="I61" s="355"/>
      <c r="J61" s="355">
        <f>'Data input'!L69</f>
        <v>0</v>
      </c>
      <c r="K61" s="355"/>
      <c r="L61" s="355"/>
      <c r="M61" s="355">
        <f>'Data input'!Q69</f>
        <v>0</v>
      </c>
      <c r="N61" s="355"/>
      <c r="O61" s="356"/>
      <c r="AZ61" s="108"/>
    </row>
    <row r="62" spans="1:52" x14ac:dyDescent="0.35">
      <c r="A62" s="1"/>
      <c r="B62" s="353"/>
      <c r="C62" s="354"/>
      <c r="D62" s="342"/>
      <c r="E62" s="343"/>
      <c r="F62" s="244"/>
      <c r="G62" s="172" t="str">
        <f>IF('Data input'!G69="","Min",MIN('Data input'!G69:K69))</f>
        <v>Min</v>
      </c>
      <c r="H62" s="173" t="s">
        <v>247</v>
      </c>
      <c r="I62" s="173" t="str">
        <f>IF('Data input'!G69="","Max",MAX('Data input'!G69:K69))</f>
        <v>Max</v>
      </c>
      <c r="J62" s="173" t="str">
        <f>IF('Data input'!L69="","Min",MIN('Data input'!L69:P69))</f>
        <v>Min</v>
      </c>
      <c r="K62" s="173" t="s">
        <v>247</v>
      </c>
      <c r="L62" s="173" t="str">
        <f>IF('Data input'!L69="","Max",MAX('Data input'!L69:P69))</f>
        <v>Max</v>
      </c>
      <c r="M62" s="173" t="str">
        <f>IF('Data input'!Q69="","Min",MIN('Data input'!Q69:U69))</f>
        <v>Min</v>
      </c>
      <c r="N62" s="173" t="s">
        <v>247</v>
      </c>
      <c r="O62" s="125" t="str">
        <f>IF('Data input'!Q69="","Max",MAX('Data input'!Q69:U69))</f>
        <v>Max</v>
      </c>
      <c r="AZ62" s="108"/>
    </row>
    <row r="63" spans="1:52" x14ac:dyDescent="0.35">
      <c r="A63" s="1"/>
      <c r="B63" s="353"/>
      <c r="C63" s="354"/>
      <c r="D63" s="342" t="str">
        <f>IF('Data input'!D71="Please select"," ",'Data input'!D71)</f>
        <v xml:space="preserve"> </v>
      </c>
      <c r="E63" s="343"/>
      <c r="F63" s="244" t="str">
        <f>IF('Data input'!F71="Please select"," ",'Data input'!F71)</f>
        <v xml:space="preserve"> </v>
      </c>
      <c r="G63" s="355">
        <f>'Data input'!G71</f>
        <v>0</v>
      </c>
      <c r="H63" s="355"/>
      <c r="I63" s="355"/>
      <c r="J63" s="355">
        <f>'Data input'!L71</f>
        <v>0</v>
      </c>
      <c r="K63" s="355"/>
      <c r="L63" s="355"/>
      <c r="M63" s="355">
        <f>'Data input'!Q71</f>
        <v>0</v>
      </c>
      <c r="N63" s="355"/>
      <c r="O63" s="356"/>
      <c r="AZ63" s="108"/>
    </row>
    <row r="64" spans="1:52" x14ac:dyDescent="0.35">
      <c r="A64" s="1"/>
      <c r="B64" s="353"/>
      <c r="C64" s="354"/>
      <c r="D64" s="342"/>
      <c r="E64" s="343"/>
      <c r="F64" s="244"/>
      <c r="G64" s="172" t="str">
        <f>IF('Data input'!G71="","Min",MIN('Data input'!G71:K71))</f>
        <v>Min</v>
      </c>
      <c r="H64" s="173" t="s">
        <v>247</v>
      </c>
      <c r="I64" s="173" t="str">
        <f>IF('Data input'!G71="","Max",MAX('Data input'!G71:K71))</f>
        <v>Max</v>
      </c>
      <c r="J64" s="173" t="str">
        <f>IF('Data input'!L71="","Min",MIN('Data input'!L71:P71))</f>
        <v>Min</v>
      </c>
      <c r="K64" s="173" t="s">
        <v>247</v>
      </c>
      <c r="L64" s="173" t="str">
        <f>IF('Data input'!L71="","Max",MAX('Data input'!L71:P71))</f>
        <v>Max</v>
      </c>
      <c r="M64" s="173" t="str">
        <f>IF('Data input'!Q71="","Min",MIN('Data input'!Q71:U71))</f>
        <v>Min</v>
      </c>
      <c r="N64" s="173" t="s">
        <v>247</v>
      </c>
      <c r="O64" s="125" t="str">
        <f>IF('Data input'!Q71="","Max",MAX('Data input'!Q71:U71))</f>
        <v>Max</v>
      </c>
      <c r="AZ64" s="108"/>
    </row>
    <row r="65" spans="1:52" x14ac:dyDescent="0.35">
      <c r="A65" s="1"/>
      <c r="B65" s="353"/>
      <c r="C65" s="354"/>
      <c r="D65" s="342" t="str">
        <f>IF('Data input'!D73="Please select"," ",'Data input'!D73)</f>
        <v xml:space="preserve"> </v>
      </c>
      <c r="E65" s="343"/>
      <c r="F65" s="244" t="str">
        <f>IF('Data input'!F73="Please select"," ",'Data input'!F73)</f>
        <v xml:space="preserve"> </v>
      </c>
      <c r="G65" s="355">
        <f>'Data input'!G73</f>
        <v>0</v>
      </c>
      <c r="H65" s="355"/>
      <c r="I65" s="355"/>
      <c r="J65" s="355">
        <f>'Data input'!L73</f>
        <v>0</v>
      </c>
      <c r="K65" s="355"/>
      <c r="L65" s="355"/>
      <c r="M65" s="355">
        <f>'Data input'!Q73</f>
        <v>0</v>
      </c>
      <c r="N65" s="355"/>
      <c r="O65" s="356"/>
      <c r="AZ65" s="108"/>
    </row>
    <row r="66" spans="1:52" x14ac:dyDescent="0.35">
      <c r="A66" s="1"/>
      <c r="B66" s="353"/>
      <c r="C66" s="354"/>
      <c r="D66" s="342"/>
      <c r="E66" s="343"/>
      <c r="F66" s="244"/>
      <c r="G66" s="172" t="str">
        <f>IF('Data input'!G73="","Min",MIN('Data input'!G73:K73))</f>
        <v>Min</v>
      </c>
      <c r="H66" s="173" t="s">
        <v>247</v>
      </c>
      <c r="I66" s="173" t="str">
        <f>IF('Data input'!G73="","Max",MAX('Data input'!G73:K73))</f>
        <v>Max</v>
      </c>
      <c r="J66" s="173" t="str">
        <f>IF('Data input'!L73="","Min",MIN('Data input'!L73:P73))</f>
        <v>Min</v>
      </c>
      <c r="K66" s="173" t="s">
        <v>247</v>
      </c>
      <c r="L66" s="173" t="str">
        <f>IF('Data input'!L73="","Max",MAX('Data input'!L73:P73))</f>
        <v>Max</v>
      </c>
      <c r="M66" s="173" t="str">
        <f>IF('Data input'!Q73="","Min",MIN('Data input'!Q73:U73))</f>
        <v>Min</v>
      </c>
      <c r="N66" s="173" t="s">
        <v>247</v>
      </c>
      <c r="O66" s="125" t="str">
        <f>IF('Data input'!Q73="","Max",MAX('Data input'!Q73:U73))</f>
        <v>Max</v>
      </c>
      <c r="AZ66" s="108"/>
    </row>
    <row r="67" spans="1:52" x14ac:dyDescent="0.35">
      <c r="A67" s="1"/>
      <c r="B67" s="353"/>
      <c r="C67" s="354"/>
      <c r="D67" s="342" t="str">
        <f>IF('Data input'!D75="Please select"," ",'Data input'!D75)</f>
        <v xml:space="preserve"> </v>
      </c>
      <c r="E67" s="343"/>
      <c r="F67" s="244" t="str">
        <f>IF('Data input'!F75="Please select"," ",'Data input'!F75)</f>
        <v xml:space="preserve"> </v>
      </c>
      <c r="G67" s="355">
        <f>'Data input'!G75</f>
        <v>0</v>
      </c>
      <c r="H67" s="355"/>
      <c r="I67" s="355"/>
      <c r="J67" s="355">
        <f>'Data input'!L75</f>
        <v>0</v>
      </c>
      <c r="K67" s="355"/>
      <c r="L67" s="355"/>
      <c r="M67" s="355">
        <f>'Data input'!Q75</f>
        <v>0</v>
      </c>
      <c r="N67" s="355"/>
      <c r="O67" s="356"/>
      <c r="AZ67" s="108"/>
    </row>
    <row r="68" spans="1:52" ht="16" thickBot="1" x14ac:dyDescent="0.4">
      <c r="A68" s="1"/>
      <c r="B68" s="353"/>
      <c r="C68" s="354"/>
      <c r="D68" s="344"/>
      <c r="E68" s="345"/>
      <c r="F68" s="346"/>
      <c r="G68" s="129" t="str">
        <f>IF('Data input'!G75="","Min",MIN('Data input'!G75:K75))</f>
        <v>Min</v>
      </c>
      <c r="H68" s="127" t="s">
        <v>247</v>
      </c>
      <c r="I68" s="127" t="str">
        <f>IF('Data input'!G75="","Max",MAX('Data input'!G75:K75))</f>
        <v>Max</v>
      </c>
      <c r="J68" s="127" t="str">
        <f>IF('Data input'!L75="","Min",MIN('Data input'!L75:P75))</f>
        <v>Min</v>
      </c>
      <c r="K68" s="127" t="s">
        <v>247</v>
      </c>
      <c r="L68" s="127" t="str">
        <f>IF('Data input'!L75="","Max",MAX('Data input'!L75:P75))</f>
        <v>Max</v>
      </c>
      <c r="M68" s="127" t="str">
        <f>IF('Data input'!Q75="","Min",MIN('Data input'!Q75:U75))</f>
        <v>Min</v>
      </c>
      <c r="N68" s="127" t="s">
        <v>247</v>
      </c>
      <c r="O68" s="128" t="str">
        <f>IF('Data input'!Q75="","Max",MAX('Data input'!Q75:U75))</f>
        <v>Max</v>
      </c>
      <c r="AZ68" s="108"/>
    </row>
    <row r="69" spans="1:52" ht="16" thickBot="1" x14ac:dyDescent="0.4">
      <c r="A69" s="1"/>
      <c r="B69" s="351" t="s">
        <v>229</v>
      </c>
      <c r="C69" s="376"/>
      <c r="D69" s="378" t="str">
        <f>IF('Data input'!D77="Explain here (e.g. emission factors if calculated)"," ",'Data input'!D77)</f>
        <v xml:space="preserve"> </v>
      </c>
      <c r="E69" s="379"/>
      <c r="F69" s="379"/>
      <c r="G69" s="379"/>
      <c r="H69" s="379"/>
      <c r="I69" s="379"/>
      <c r="J69" s="379"/>
      <c r="K69" s="379"/>
      <c r="L69" s="379"/>
      <c r="M69" s="379"/>
      <c r="N69" s="379"/>
      <c r="O69" s="380"/>
      <c r="AZ69" s="108" t="str">
        <f>D69</f>
        <v xml:space="preserve"> </v>
      </c>
    </row>
    <row r="70" spans="1:52" ht="16" thickBot="1" x14ac:dyDescent="0.4">
      <c r="A70" s="1"/>
      <c r="B70" s="359" t="s">
        <v>120</v>
      </c>
      <c r="C70" s="349"/>
      <c r="D70" s="349"/>
      <c r="E70" s="349"/>
      <c r="F70" s="349"/>
      <c r="G70" s="349"/>
      <c r="H70" s="349"/>
      <c r="I70" s="349"/>
      <c r="J70" s="349"/>
      <c r="K70" s="349"/>
      <c r="L70" s="349"/>
      <c r="M70" s="349"/>
      <c r="N70" s="349"/>
      <c r="O70" s="350"/>
      <c r="AZ70" s="108"/>
    </row>
    <row r="71" spans="1:52" x14ac:dyDescent="0.35">
      <c r="A71" s="1"/>
      <c r="B71" s="495" t="str">
        <f>IF('Data input'!C84="Specify complete references and data sources used here"," ",'Data input'!C84)</f>
        <v>SDE+ Eindadvies 2019</v>
      </c>
      <c r="C71" s="496"/>
      <c r="D71" s="496"/>
      <c r="E71" s="496"/>
      <c r="F71" s="496"/>
      <c r="G71" s="496"/>
      <c r="H71" s="496"/>
      <c r="I71" s="496"/>
      <c r="J71" s="496"/>
      <c r="K71" s="496"/>
      <c r="L71" s="496"/>
      <c r="M71" s="496"/>
      <c r="N71" s="496"/>
      <c r="O71" s="497"/>
      <c r="AZ71" s="108" t="str">
        <f>B71</f>
        <v>SDE+ Eindadvies 2019</v>
      </c>
    </row>
    <row r="72" spans="1:52" ht="17.25" customHeight="1" x14ac:dyDescent="0.35">
      <c r="A72" s="1" t="s">
        <v>253</v>
      </c>
      <c r="B72" s="498" t="str">
        <f>IF('Data input'!C85=""," ",'Data input'!C85)</f>
        <v>DNV GL, 2017. Biomassapotentieel in Nederland. Verkennende studie naar vrij beschikbaar biomassapotentieel voor energieopwekking in Nederland. Paula Schulze, Johan Holstein, Harm Vlap. GCS.17.R.10032629.2</v>
      </c>
      <c r="C72" s="499"/>
      <c r="D72" s="499"/>
      <c r="E72" s="499"/>
      <c r="F72" s="499"/>
      <c r="G72" s="499"/>
      <c r="H72" s="499"/>
      <c r="I72" s="499"/>
      <c r="J72" s="499"/>
      <c r="K72" s="499"/>
      <c r="L72" s="499"/>
      <c r="M72" s="499"/>
      <c r="N72" s="499"/>
      <c r="O72" s="500"/>
      <c r="AZ72" s="108" t="str">
        <f t="shared" ref="AZ72:AZ76" si="0">B72</f>
        <v>DNV GL, 2017. Biomassapotentieel in Nederland. Verkennende studie naar vrij beschikbaar biomassapotentieel voor energieopwekking in Nederland. Paula Schulze, Johan Holstein, Harm Vlap. GCS.17.R.10032629.2</v>
      </c>
    </row>
    <row r="73" spans="1:52" x14ac:dyDescent="0.35">
      <c r="A73" s="1"/>
      <c r="B73" s="498" t="str">
        <f>IF('Data input'!C86=""," ",'Data input'!C86)</f>
        <v>ETRI study, 2018. Cost development of low carbon energy technologies. Scenario-based cost trajectories to 2050, 2017 edition.</v>
      </c>
      <c r="C73" s="499"/>
      <c r="D73" s="499"/>
      <c r="E73" s="499"/>
      <c r="F73" s="499"/>
      <c r="G73" s="499"/>
      <c r="H73" s="499"/>
      <c r="I73" s="499"/>
      <c r="J73" s="499"/>
      <c r="K73" s="499"/>
      <c r="L73" s="499"/>
      <c r="M73" s="499"/>
      <c r="N73" s="499"/>
      <c r="O73" s="500"/>
      <c r="AZ73" s="108" t="str">
        <f t="shared" si="0"/>
        <v>ETRI study, 2018. Cost development of low carbon energy technologies. Scenario-based cost trajectories to 2050, 2017 edition.</v>
      </c>
    </row>
    <row r="74" spans="1:52" x14ac:dyDescent="0.35">
      <c r="A74" s="1"/>
      <c r="B74" s="498" t="str">
        <f>IF('Data input'!C87=""," ",'Data input'!C87)</f>
        <v>Elbersen et al., 2015. Biomass potential in the Netherlands (as part of the Biomass Policies project, co-funded by the EC). </v>
      </c>
      <c r="C74" s="499"/>
      <c r="D74" s="499"/>
      <c r="E74" s="499"/>
      <c r="F74" s="499"/>
      <c r="G74" s="499"/>
      <c r="H74" s="499"/>
      <c r="I74" s="499"/>
      <c r="J74" s="499"/>
      <c r="K74" s="499"/>
      <c r="L74" s="499"/>
      <c r="M74" s="499"/>
      <c r="N74" s="499"/>
      <c r="O74" s="500"/>
      <c r="AZ74" s="108" t="str">
        <f t="shared" si="0"/>
        <v>Elbersen et al., 2015. Biomass potential in the Netherlands (as part of the Biomass Policies project, co-funded by the EC). </v>
      </c>
    </row>
    <row r="75" spans="1:52" x14ac:dyDescent="0.35">
      <c r="A75" s="99"/>
      <c r="B75" s="498" t="str">
        <f>IF('Data input'!C88=""," ",'Data input'!C88)</f>
        <v>Routekaart Hernieuwbaar Gas, 2014. See https://groengas.nl/wp-content/uploads/2015/07/Routekaart-hernieuwbaar-gas.pdf</v>
      </c>
      <c r="C75" s="499"/>
      <c r="D75" s="499"/>
      <c r="E75" s="499"/>
      <c r="F75" s="499"/>
      <c r="G75" s="499"/>
      <c r="H75" s="499"/>
      <c r="I75" s="499"/>
      <c r="J75" s="499"/>
      <c r="K75" s="499"/>
      <c r="L75" s="499"/>
      <c r="M75" s="499"/>
      <c r="N75" s="499"/>
      <c r="O75" s="500"/>
      <c r="AZ75" s="108" t="str">
        <f t="shared" si="0"/>
        <v>Routekaart Hernieuwbaar Gas, 2014. See https://groengas.nl/wp-content/uploads/2015/07/Routekaart-hernieuwbaar-gas.pdf</v>
      </c>
    </row>
    <row r="76" spans="1:52" ht="16" thickBot="1" x14ac:dyDescent="0.4">
      <c r="A76" s="1"/>
      <c r="B76" s="501" t="str">
        <f>IF('Data input'!C89=""," ",'Data input'!C89)</f>
        <v>Decision related to change of Activiteitenbesluit milieubeheer. See https://zoek.officielebekendmakingen.nl/stb-2017-330.html</v>
      </c>
      <c r="C76" s="502"/>
      <c r="D76" s="502"/>
      <c r="E76" s="502"/>
      <c r="F76" s="502"/>
      <c r="G76" s="502"/>
      <c r="H76" s="502"/>
      <c r="I76" s="502"/>
      <c r="J76" s="502"/>
      <c r="K76" s="502"/>
      <c r="L76" s="502"/>
      <c r="M76" s="502"/>
      <c r="N76" s="502"/>
      <c r="O76" s="503"/>
      <c r="AZ76" s="108" t="str">
        <f t="shared" si="0"/>
        <v>Decision related to change of Activiteitenbesluit milieubeheer. See https://zoek.officielebekendmakingen.nl/stb-2017-330.html</v>
      </c>
    </row>
  </sheetData>
  <mergeCells count="168">
    <mergeCell ref="B71:O71"/>
    <mergeCell ref="B72:O72"/>
    <mergeCell ref="B73:O73"/>
    <mergeCell ref="B74:O74"/>
    <mergeCell ref="B75:O75"/>
    <mergeCell ref="B76:O76"/>
    <mergeCell ref="G65:I65"/>
    <mergeCell ref="J65:L65"/>
    <mergeCell ref="F56:F57"/>
    <mergeCell ref="G56:I56"/>
    <mergeCell ref="J56:L56"/>
    <mergeCell ref="J61:L61"/>
    <mergeCell ref="M61:O61"/>
    <mergeCell ref="D63:E64"/>
    <mergeCell ref="F63:F64"/>
    <mergeCell ref="D56:E57"/>
    <mergeCell ref="B70:O70"/>
    <mergeCell ref="B69:C69"/>
    <mergeCell ref="D69:O69"/>
    <mergeCell ref="D65:E66"/>
    <mergeCell ref="F65:F66"/>
    <mergeCell ref="G63:I63"/>
    <mergeCell ref="J63:L63"/>
    <mergeCell ref="B53:C57"/>
    <mergeCell ref="B34:C35"/>
    <mergeCell ref="D44:E44"/>
    <mergeCell ref="D43:E43"/>
    <mergeCell ref="B24:C24"/>
    <mergeCell ref="M53:O53"/>
    <mergeCell ref="D51:O51"/>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D20:E21"/>
    <mergeCell ref="F20:F21"/>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D5:O5"/>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G53:I53"/>
    <mergeCell ref="J53:L53"/>
    <mergeCell ref="D58:O58"/>
    <mergeCell ref="D67:E68"/>
    <mergeCell ref="F67:F68"/>
    <mergeCell ref="B59:O59"/>
    <mergeCell ref="B60:C68"/>
    <mergeCell ref="G60:I60"/>
    <mergeCell ref="M63:O63"/>
    <mergeCell ref="J60:L60"/>
    <mergeCell ref="M60:O60"/>
    <mergeCell ref="D60:E60"/>
    <mergeCell ref="D61:E62"/>
    <mergeCell ref="F61:F62"/>
    <mergeCell ref="G61:I61"/>
  </mergeCells>
  <conditionalFormatting sqref="D6:D9">
    <cfRule type="containsText" dxfId="58" priority="99" operator="containsText" text="Please select">
      <formula>NOT(ISERROR(SEARCH("Please select",D6)))</formula>
    </cfRule>
  </conditionalFormatting>
  <conditionalFormatting sqref="D10:O10">
    <cfRule type="containsText" dxfId="57" priority="95" operator="containsText" text="Specify here">
      <formula>NOT(ISERROR(SEARCH("Specify here",D10)))</formula>
    </cfRule>
  </conditionalFormatting>
  <conditionalFormatting sqref="D4:O4 D5">
    <cfRule type="containsText" dxfId="56" priority="94" operator="containsText" text="DD-MM-YYYY">
      <formula>NOT(ISERROR(SEARCH("DD-MM-YYYY",D4)))</formula>
    </cfRule>
  </conditionalFormatting>
  <conditionalFormatting sqref="D11:O11">
    <cfRule type="containsText" dxfId="55" priority="91" operator="containsText" text="Select the observed or expected TRL level in 2020">
      <formula>NOT(ISERROR(SEARCH("Select the observed or expected TRL level in 2020",D11)))</formula>
    </cfRule>
    <cfRule type="containsText" dxfId="54" priority="93" operator="containsText" text="Specify here the observed or expected TRL level in 2020">
      <formula>NOT(ISERROR(SEARCH("Specify here the observed or expected TRL level in 2020",D11)))</formula>
    </cfRule>
  </conditionalFormatting>
  <conditionalFormatting sqref="D12:O12">
    <cfRule type="containsText" dxfId="53" priority="92" operator="containsText" text="Explain here">
      <formula>NOT(ISERROR(SEARCH("Explain here",D12)))</formula>
    </cfRule>
  </conditionalFormatting>
  <conditionalFormatting sqref="D30">
    <cfRule type="containsText" dxfId="52" priority="89" operator="containsText" text="Specify here">
      <formula>NOT(ISERROR(SEARCH("Specify here",D30)))</formula>
    </cfRule>
  </conditionalFormatting>
  <conditionalFormatting sqref="D40:O40">
    <cfRule type="containsText" dxfId="51" priority="88" operator="containsText" text="Explain here (e.g. other costs)">
      <formula>NOT(ISERROR(SEARCH("Explain here (e.g. other costs)",D40)))</formula>
    </cfRule>
  </conditionalFormatting>
  <conditionalFormatting sqref="D51:O51">
    <cfRule type="containsText" dxfId="50" priority="87" operator="containsText" text="Explain here (e.g. flexible in and out)">
      <formula>NOT(ISERROR(SEARCH("Explain here (e.g. flexible in and out)",D51)))</formula>
    </cfRule>
  </conditionalFormatting>
  <conditionalFormatting sqref="D44">
    <cfRule type="containsText" dxfId="49" priority="86" operator="containsText" text="Select">
      <formula>NOT(ISERROR(SEARCH("Select",D44)))</formula>
    </cfRule>
  </conditionalFormatting>
  <conditionalFormatting sqref="D58:O58">
    <cfRule type="containsText" dxfId="48" priority="82" operator="containsText" text="Explain here">
      <formula>NOT(ISERROR(SEARCH("Explain here",D58)))</formula>
    </cfRule>
  </conditionalFormatting>
  <conditionalFormatting sqref="D54">
    <cfRule type="containsText" dxfId="47" priority="81" operator="containsText" text="Select">
      <formula>NOT(ISERROR(SEARCH("Select",D54)))</formula>
    </cfRule>
  </conditionalFormatting>
  <conditionalFormatting sqref="D15:F16 D22:F23 D25:F27 D24:E24">
    <cfRule type="containsText" dxfId="46" priority="75" operator="containsText" text="Please select">
      <formula>NOT(ISERROR(SEARCH("Please select",D15)))</formula>
    </cfRule>
  </conditionalFormatting>
  <conditionalFormatting sqref="D17 F17">
    <cfRule type="containsText" dxfId="45" priority="66" operator="containsText" text="Please select 'Functional Unit' above">
      <formula>NOT(ISERROR(SEARCH("Please select 'Functional Unit' above",D17)))</formula>
    </cfRule>
  </conditionalFormatting>
  <conditionalFormatting sqref="E32">
    <cfRule type="containsText" dxfId="44" priority="64" operator="containsText" text="Please select 'Functional Unit' above">
      <formula>NOT(ISERROR(SEARCH("Please select 'Functional Unit' above",E32)))</formula>
    </cfRule>
  </conditionalFormatting>
  <conditionalFormatting sqref="E34">
    <cfRule type="containsText" dxfId="43" priority="63" operator="containsText" text="Please select 'Functional Unit' above">
      <formula>NOT(ISERROR(SEARCH("Please select 'Functional Unit' above",E34)))</formula>
    </cfRule>
  </conditionalFormatting>
  <conditionalFormatting sqref="E36">
    <cfRule type="containsText" dxfId="42" priority="62" operator="containsText" text="Please select 'Functional Unit' above">
      <formula>NOT(ISERROR(SEARCH("Please select 'Functional Unit' above",E36)))</formula>
    </cfRule>
  </conditionalFormatting>
  <conditionalFormatting sqref="D61">
    <cfRule type="containsText" dxfId="41" priority="46" operator="containsText" text="Select">
      <formula>NOT(ISERROR(SEARCH("Select",D61)))</formula>
    </cfRule>
  </conditionalFormatting>
  <conditionalFormatting sqref="F61:F68">
    <cfRule type="containsText" dxfId="40" priority="39" operator="containsText" text="Please select">
      <formula>NOT(ISERROR(SEARCH("Please select",F61)))</formula>
    </cfRule>
  </conditionalFormatting>
  <conditionalFormatting sqref="D28:O28">
    <cfRule type="containsText" dxfId="39" priority="20" operator="containsText" text="Explain here">
      <formula>NOT(ISERROR(SEARCH("Explain here",D28)))</formula>
    </cfRule>
  </conditionalFormatting>
  <conditionalFormatting sqref="D69:O69">
    <cfRule type="containsText" dxfId="38" priority="32" operator="containsText" text="Explain here">
      <formula>NOT(ISERROR(SEARCH("Explain here",D69)))</formula>
    </cfRule>
  </conditionalFormatting>
  <conditionalFormatting sqref="B71:B76">
    <cfRule type="containsText" dxfId="37" priority="31" operator="containsText" text="Specify data sources and references here">
      <formula>NOT(ISERROR(SEARCH("Specify data sources and references here",B71)))</formula>
    </cfRule>
  </conditionalFormatting>
  <conditionalFormatting sqref="E38">
    <cfRule type="containsText" dxfId="36" priority="30" operator="containsText" text="Please select 'Functional Unit' above">
      <formula>NOT(ISERROR(SEARCH("Please select 'Functional Unit' above",E38)))</formula>
    </cfRule>
  </conditionalFormatting>
  <conditionalFormatting sqref="F43:F50">
    <cfRule type="containsText" dxfId="35" priority="28" operator="containsText" text="Please select">
      <formula>NOT(ISERROR(SEARCH("Please select",F43)))</formula>
    </cfRule>
  </conditionalFormatting>
  <conditionalFormatting sqref="G32:O39 G43:O50 G54:O57 G61:O68">
    <cfRule type="containsText" dxfId="34" priority="24" operator="containsText" text="Max">
      <formula>NOT(ISERROR(SEARCH("Max",G32)))</formula>
    </cfRule>
    <cfRule type="containsText" dxfId="33" priority="25" operator="containsText" text="Min">
      <formula>NOT(ISERROR(SEARCH("Min",G32)))</formula>
    </cfRule>
    <cfRule type="containsText" dxfId="32" priority="26" operator="containsText" text="Specify ">
      <formula>NOT(ISERROR(SEARCH("Specify ",G32)))</formula>
    </cfRule>
  </conditionalFormatting>
  <conditionalFormatting sqref="D45">
    <cfRule type="containsText" dxfId="31" priority="19" operator="containsText" text="Select">
      <formula>NOT(ISERROR(SEARCH("Select",D45)))</formula>
    </cfRule>
  </conditionalFormatting>
  <conditionalFormatting sqref="D47">
    <cfRule type="containsText" dxfId="30" priority="18" operator="containsText" text="Select">
      <formula>NOT(ISERROR(SEARCH("Select",D47)))</formula>
    </cfRule>
  </conditionalFormatting>
  <conditionalFormatting sqref="D49">
    <cfRule type="containsText" dxfId="29" priority="17" operator="containsText" text="Select">
      <formula>NOT(ISERROR(SEARCH("Select",D49)))</formula>
    </cfRule>
  </conditionalFormatting>
  <conditionalFormatting sqref="D56">
    <cfRule type="containsText" dxfId="28" priority="16" operator="containsText" text="Select">
      <formula>NOT(ISERROR(SEARCH("Select",D56)))</formula>
    </cfRule>
  </conditionalFormatting>
  <conditionalFormatting sqref="D63">
    <cfRule type="containsText" dxfId="27" priority="15" operator="containsText" text="Select">
      <formula>NOT(ISERROR(SEARCH("Select",D63)))</formula>
    </cfRule>
  </conditionalFormatting>
  <conditionalFormatting sqref="D65">
    <cfRule type="containsText" dxfId="26" priority="14" operator="containsText" text="Select">
      <formula>NOT(ISERROR(SEARCH("Select",D65)))</formula>
    </cfRule>
  </conditionalFormatting>
  <conditionalFormatting sqref="D67">
    <cfRule type="containsText" dxfId="25" priority="13" operator="containsText" text="Select">
      <formula>NOT(ISERROR(SEARCH("Select",D67)))</formula>
    </cfRule>
  </conditionalFormatting>
  <conditionalFormatting sqref="D20 F20">
    <cfRule type="containsText" dxfId="24" priority="6" operator="containsText" text="Please select 'Functional Unit' above">
      <formula>NOT(ISERROR(SEARCH("Please select 'Functional Unit' above",D20)))</formula>
    </cfRule>
  </conditionalFormatting>
  <conditionalFormatting sqref="G18:O21">
    <cfRule type="containsText" dxfId="23" priority="3" operator="containsText" text="Max">
      <formula>NOT(ISERROR(SEARCH("Max",G18)))</formula>
    </cfRule>
    <cfRule type="containsText" dxfId="22" priority="4" operator="containsText" text="Min">
      <formula>NOT(ISERROR(SEARCH("Min",G18)))</formula>
    </cfRule>
    <cfRule type="containsText" dxfId="21" priority="5" operator="containsText" text="Specify ">
      <formula>NOT(ISERROR(SEARCH("Specify ",G18)))</formula>
    </cfRule>
  </conditionalFormatting>
  <conditionalFormatting sqref="G16:I16">
    <cfRule type="containsText" dxfId="20" priority="2" operator="containsText" text="min">
      <formula>NOT(ISERROR(SEARCH("min",G16)))</formula>
    </cfRule>
  </conditionalFormatting>
  <conditionalFormatting sqref="M16:O16">
    <cfRule type="containsText" dxfId="19" priority="1" operator="containsText" text="max">
      <formula>NOT(ISERROR(SEARCH("max",M16)))</formula>
    </cfRule>
  </conditionalFormatting>
  <pageMargins left="0.7" right="0.7" top="0.75" bottom="0.75" header="0.3" footer="0.3"/>
  <pageSetup paperSize="9" scale="48" fitToHeight="2" orientation="portrait" r:id="rId1"/>
  <rowBreaks count="1" manualBreakCount="1">
    <brk id="5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574D1-9A0C-45CF-99BE-ED705201E7DF}">
  <dimension ref="A1:E13"/>
  <sheetViews>
    <sheetView workbookViewId="0">
      <selection activeCell="D103" sqref="D103"/>
    </sheetView>
  </sheetViews>
  <sheetFormatPr defaultRowHeight="15.5" x14ac:dyDescent="0.35"/>
  <cols>
    <col min="2" max="2" width="31.83203125" bestFit="1" customWidth="1"/>
  </cols>
  <sheetData>
    <row r="1" spans="1:5" x14ac:dyDescent="0.35">
      <c r="A1" t="s">
        <v>461</v>
      </c>
      <c r="B1" s="188">
        <v>44876</v>
      </c>
    </row>
    <row r="3" spans="1:5" ht="16" thickBot="1" x14ac:dyDescent="0.4">
      <c r="B3" s="189" t="s">
        <v>462</v>
      </c>
      <c r="C3" s="189" t="s">
        <v>463</v>
      </c>
      <c r="D3" s="189" t="s">
        <v>464</v>
      </c>
      <c r="E3" s="189" t="s">
        <v>465</v>
      </c>
    </row>
    <row r="4" spans="1:5" x14ac:dyDescent="0.35">
      <c r="B4" t="s">
        <v>466</v>
      </c>
      <c r="C4" t="s">
        <v>172</v>
      </c>
      <c r="D4" t="s">
        <v>397</v>
      </c>
      <c r="E4" t="s">
        <v>467</v>
      </c>
    </row>
    <row r="5" spans="1:5" x14ac:dyDescent="0.35">
      <c r="B5" t="s">
        <v>468</v>
      </c>
      <c r="C5" t="s">
        <v>172</v>
      </c>
      <c r="D5" t="s">
        <v>397</v>
      </c>
      <c r="E5" t="s">
        <v>469</v>
      </c>
    </row>
    <row r="6" spans="1:5" x14ac:dyDescent="0.35">
      <c r="B6" t="s">
        <v>470</v>
      </c>
      <c r="C6" t="s">
        <v>471</v>
      </c>
      <c r="D6" t="s">
        <v>472</v>
      </c>
      <c r="E6" t="s">
        <v>473</v>
      </c>
    </row>
    <row r="7" spans="1:5" x14ac:dyDescent="0.35">
      <c r="B7" t="s">
        <v>474</v>
      </c>
      <c r="E7" t="s">
        <v>475</v>
      </c>
    </row>
    <row r="8" spans="1:5" x14ac:dyDescent="0.35">
      <c r="B8" t="s">
        <v>476</v>
      </c>
      <c r="E8" t="s">
        <v>477</v>
      </c>
    </row>
    <row r="9" spans="1:5" x14ac:dyDescent="0.35">
      <c r="B9" t="s">
        <v>478</v>
      </c>
      <c r="E9" t="s">
        <v>479</v>
      </c>
    </row>
    <row r="11" spans="1:5" x14ac:dyDescent="0.35">
      <c r="D11" s="190"/>
    </row>
    <row r="12" spans="1:5" x14ac:dyDescent="0.35">
      <c r="D12" s="190"/>
    </row>
    <row r="13" spans="1:5" x14ac:dyDescent="0.35">
      <c r="D13" s="1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X85"/>
  <sheetViews>
    <sheetView zoomScaleNormal="100" workbookViewId="0">
      <pane ySplit="1" topLeftCell="A2" activePane="bottomLeft" state="frozen"/>
      <selection activeCell="D103" sqref="D103"/>
      <selection pane="bottomLeft" activeCell="D103" sqref="D103"/>
    </sheetView>
  </sheetViews>
  <sheetFormatPr defaultColWidth="9" defaultRowHeight="15.5" x14ac:dyDescent="0.35"/>
  <cols>
    <col min="1" max="1" width="10.25" style="1" bestFit="1" customWidth="1"/>
    <col min="2" max="2" width="24" style="1" bestFit="1" customWidth="1"/>
    <col min="3" max="3" width="10.25" style="1" bestFit="1" customWidth="1"/>
    <col min="4" max="6" width="18.33203125" style="1" customWidth="1"/>
    <col min="7" max="7" width="10.25" style="1" bestFit="1" customWidth="1"/>
    <col min="8" max="8" width="13.83203125" style="1" bestFit="1" customWidth="1"/>
    <col min="9" max="9" width="10.25" style="1" bestFit="1" customWidth="1"/>
    <col min="10" max="10" width="25.75" style="1" customWidth="1"/>
    <col min="11" max="11" width="10.25" style="1" bestFit="1" customWidth="1"/>
    <col min="12" max="12" width="19.33203125" style="1" bestFit="1" customWidth="1"/>
    <col min="13" max="13" width="10.25" style="1" bestFit="1" customWidth="1"/>
    <col min="14" max="14" width="14" style="1" customWidth="1"/>
    <col min="15" max="15" width="10.25" style="1" bestFit="1" customWidth="1"/>
    <col min="16" max="16" width="13.08203125" style="1" bestFit="1" customWidth="1"/>
    <col min="17" max="17" width="10.25" style="1" bestFit="1" customWidth="1"/>
    <col min="18" max="18" width="14.5" style="1" bestFit="1" customWidth="1"/>
    <col min="19" max="23" width="9" style="1"/>
    <col min="24" max="24" width="9" style="1" hidden="1" customWidth="1"/>
    <col min="25" max="16384" width="9" style="1"/>
  </cols>
  <sheetData>
    <row r="1" spans="1:24" x14ac:dyDescent="0.35">
      <c r="A1" s="15"/>
      <c r="B1" s="15" t="s">
        <v>254</v>
      </c>
      <c r="D1" s="15" t="s">
        <v>255</v>
      </c>
      <c r="E1" s="15"/>
      <c r="F1" s="15" t="s">
        <v>256</v>
      </c>
      <c r="G1" s="15"/>
      <c r="H1" s="15" t="s">
        <v>257</v>
      </c>
      <c r="J1" s="15" t="s">
        <v>258</v>
      </c>
      <c r="K1" s="15"/>
      <c r="L1" s="15" t="s">
        <v>259</v>
      </c>
      <c r="M1" s="15"/>
      <c r="N1" s="15" t="s">
        <v>260</v>
      </c>
      <c r="O1" s="15"/>
      <c r="P1" s="15" t="s">
        <v>261</v>
      </c>
      <c r="Q1" s="15"/>
      <c r="R1" s="15" t="s">
        <v>262</v>
      </c>
    </row>
    <row r="2" spans="1:24" hidden="1" x14ac:dyDescent="0.35">
      <c r="A2" s="15"/>
      <c r="B2" s="15"/>
      <c r="D2" s="15"/>
      <c r="E2" s="15"/>
      <c r="F2" s="15"/>
      <c r="G2" s="15"/>
      <c r="H2" s="15"/>
      <c r="J2" s="16" t="s">
        <v>263</v>
      </c>
      <c r="K2" s="15"/>
      <c r="L2" s="15"/>
      <c r="M2" s="15"/>
      <c r="N2" s="15"/>
      <c r="O2" s="15"/>
      <c r="P2" s="15"/>
      <c r="Q2" s="15"/>
      <c r="R2" s="15"/>
      <c r="X2" s="16" t="s">
        <v>192</v>
      </c>
    </row>
    <row r="3" spans="1:24" hidden="1" x14ac:dyDescent="0.35">
      <c r="A3" s="16"/>
      <c r="B3" s="16" t="s">
        <v>192</v>
      </c>
      <c r="D3" s="16" t="s">
        <v>192</v>
      </c>
      <c r="E3" s="16"/>
      <c r="F3" s="16" t="s">
        <v>192</v>
      </c>
      <c r="G3" s="16"/>
      <c r="H3" s="16" t="s">
        <v>192</v>
      </c>
      <c r="I3" s="16"/>
      <c r="J3" s="16" t="s">
        <v>192</v>
      </c>
      <c r="K3" s="16"/>
      <c r="L3" s="16" t="s">
        <v>192</v>
      </c>
      <c r="M3" s="5"/>
      <c r="N3" s="16" t="s">
        <v>192</v>
      </c>
      <c r="O3" s="16"/>
      <c r="P3" s="16" t="s">
        <v>192</v>
      </c>
      <c r="Q3" s="16"/>
      <c r="R3" s="16" t="s">
        <v>192</v>
      </c>
      <c r="X3" s="1" t="s">
        <v>264</v>
      </c>
    </row>
    <row r="4" spans="1:24" x14ac:dyDescent="0.35">
      <c r="B4" s="1" t="s">
        <v>265</v>
      </c>
      <c r="D4" s="1" t="s">
        <v>168</v>
      </c>
      <c r="F4" s="1" t="s">
        <v>126</v>
      </c>
      <c r="H4" s="1" t="s">
        <v>266</v>
      </c>
      <c r="J4" s="1" t="s">
        <v>267</v>
      </c>
      <c r="L4" s="38" t="s">
        <v>140</v>
      </c>
      <c r="M4" s="5"/>
      <c r="N4" s="35"/>
      <c r="P4" s="1" t="s">
        <v>268</v>
      </c>
      <c r="R4" s="1" t="s">
        <v>128</v>
      </c>
      <c r="X4" s="1" t="s">
        <v>167</v>
      </c>
    </row>
    <row r="5" spans="1:24" x14ac:dyDescent="0.35">
      <c r="B5" s="1" t="s">
        <v>269</v>
      </c>
      <c r="D5" s="1" t="s">
        <v>270</v>
      </c>
      <c r="F5" s="1" t="s">
        <v>172</v>
      </c>
      <c r="H5" s="1" t="s">
        <v>271</v>
      </c>
      <c r="J5" s="1" t="s">
        <v>272</v>
      </c>
      <c r="K5" s="5" t="s">
        <v>273</v>
      </c>
      <c r="L5" s="35"/>
      <c r="M5" s="5" t="s">
        <v>273</v>
      </c>
      <c r="P5" s="1" t="s">
        <v>274</v>
      </c>
      <c r="R5" s="1" t="s">
        <v>130</v>
      </c>
    </row>
    <row r="6" spans="1:24" x14ac:dyDescent="0.35">
      <c r="B6" s="1" t="s">
        <v>275</v>
      </c>
      <c r="D6" s="1" t="s">
        <v>276</v>
      </c>
      <c r="F6" s="1" t="s">
        <v>128</v>
      </c>
      <c r="H6" s="1" t="s">
        <v>277</v>
      </c>
      <c r="J6" s="1" t="s">
        <v>278</v>
      </c>
      <c r="K6" s="5" t="s">
        <v>273</v>
      </c>
      <c r="L6" s="35"/>
      <c r="M6" s="5" t="s">
        <v>273</v>
      </c>
      <c r="P6" s="1" t="s">
        <v>279</v>
      </c>
      <c r="R6" s="1" t="s">
        <v>280</v>
      </c>
      <c r="X6" s="1" t="s">
        <v>192</v>
      </c>
    </row>
    <row r="7" spans="1:24" x14ac:dyDescent="0.35">
      <c r="B7" s="1" t="s">
        <v>281</v>
      </c>
      <c r="D7" s="1" t="s">
        <v>282</v>
      </c>
      <c r="F7" s="1" t="s">
        <v>130</v>
      </c>
      <c r="H7" s="1" t="s">
        <v>283</v>
      </c>
      <c r="J7" s="1" t="s">
        <v>284</v>
      </c>
      <c r="K7" s="5" t="s">
        <v>273</v>
      </c>
      <c r="L7" s="35"/>
      <c r="M7" s="5" t="s">
        <v>273</v>
      </c>
      <c r="P7" s="1" t="s">
        <v>285</v>
      </c>
      <c r="Q7" s="5" t="s">
        <v>273</v>
      </c>
      <c r="X7" s="1" t="s">
        <v>286</v>
      </c>
    </row>
    <row r="8" spans="1:24" x14ac:dyDescent="0.35">
      <c r="B8" s="1" t="s">
        <v>287</v>
      </c>
      <c r="D8" s="1" t="s">
        <v>288</v>
      </c>
      <c r="F8" s="1" t="s">
        <v>132</v>
      </c>
      <c r="H8" s="1" t="s">
        <v>289</v>
      </c>
      <c r="J8" s="1" t="s">
        <v>290</v>
      </c>
      <c r="K8" s="5" t="s">
        <v>273</v>
      </c>
      <c r="M8" s="5" t="s">
        <v>273</v>
      </c>
      <c r="P8" s="1" t="s">
        <v>291</v>
      </c>
      <c r="Q8" s="5" t="s">
        <v>273</v>
      </c>
      <c r="X8" s="1" t="s">
        <v>292</v>
      </c>
    </row>
    <row r="9" spans="1:24" x14ac:dyDescent="0.35">
      <c r="B9" s="1" t="s">
        <v>293</v>
      </c>
      <c r="C9" s="5"/>
      <c r="D9" s="1" t="s">
        <v>294</v>
      </c>
      <c r="F9" s="1" t="s">
        <v>134</v>
      </c>
      <c r="H9" s="1" t="s">
        <v>295</v>
      </c>
      <c r="J9" s="1" t="s">
        <v>296</v>
      </c>
      <c r="K9" s="5" t="s">
        <v>273</v>
      </c>
      <c r="M9" s="5" t="s">
        <v>273</v>
      </c>
      <c r="P9" s="1" t="s">
        <v>297</v>
      </c>
      <c r="Q9" s="5" t="s">
        <v>273</v>
      </c>
    </row>
    <row r="10" spans="1:24" x14ac:dyDescent="0.35">
      <c r="B10" s="1" t="s">
        <v>298</v>
      </c>
      <c r="C10" s="5"/>
      <c r="D10" s="1" t="s">
        <v>299</v>
      </c>
      <c r="F10" s="1" t="s">
        <v>136</v>
      </c>
      <c r="H10" s="1" t="s">
        <v>300</v>
      </c>
      <c r="J10" s="1" t="s">
        <v>301</v>
      </c>
      <c r="M10" s="5" t="s">
        <v>273</v>
      </c>
      <c r="P10" s="1" t="s">
        <v>302</v>
      </c>
      <c r="Q10" s="5" t="s">
        <v>273</v>
      </c>
      <c r="X10" s="16" t="s">
        <v>184</v>
      </c>
    </row>
    <row r="11" spans="1:24" x14ac:dyDescent="0.35">
      <c r="B11" s="1" t="s">
        <v>303</v>
      </c>
      <c r="C11" s="5"/>
      <c r="D11" s="1" t="s">
        <v>304</v>
      </c>
      <c r="F11" s="1" t="s">
        <v>138</v>
      </c>
      <c r="G11" s="5" t="s">
        <v>273</v>
      </c>
      <c r="J11" s="1" t="s">
        <v>305</v>
      </c>
      <c r="M11" s="5" t="s">
        <v>273</v>
      </c>
      <c r="P11" s="1" t="s">
        <v>306</v>
      </c>
      <c r="Q11" s="5" t="s">
        <v>273</v>
      </c>
      <c r="X11" s="1" t="s">
        <v>307</v>
      </c>
    </row>
    <row r="12" spans="1:24" x14ac:dyDescent="0.35">
      <c r="B12" s="1" t="s">
        <v>308</v>
      </c>
      <c r="C12" s="5"/>
      <c r="D12" s="1" t="s">
        <v>309</v>
      </c>
      <c r="F12" s="1" t="s">
        <v>140</v>
      </c>
      <c r="G12" s="5" t="s">
        <v>273</v>
      </c>
      <c r="J12" s="1" t="s">
        <v>310</v>
      </c>
      <c r="M12" s="5" t="s">
        <v>273</v>
      </c>
      <c r="P12" s="1" t="s">
        <v>311</v>
      </c>
      <c r="X12" s="1" t="s">
        <v>312</v>
      </c>
    </row>
    <row r="13" spans="1:24" x14ac:dyDescent="0.35">
      <c r="B13" s="1" t="s">
        <v>313</v>
      </c>
      <c r="C13" s="5" t="s">
        <v>273</v>
      </c>
      <c r="E13" s="5" t="s">
        <v>273</v>
      </c>
      <c r="F13" s="1" t="s">
        <v>456</v>
      </c>
      <c r="G13" s="5" t="s">
        <v>273</v>
      </c>
      <c r="J13" s="1" t="s">
        <v>314</v>
      </c>
      <c r="M13" s="5" t="s">
        <v>273</v>
      </c>
      <c r="P13" s="1" t="s">
        <v>315</v>
      </c>
      <c r="X13" s="1" t="s">
        <v>316</v>
      </c>
    </row>
    <row r="14" spans="1:24" x14ac:dyDescent="0.35">
      <c r="B14" s="1" t="s">
        <v>317</v>
      </c>
      <c r="C14" s="5" t="s">
        <v>273</v>
      </c>
      <c r="E14" s="5" t="s">
        <v>273</v>
      </c>
      <c r="G14" s="5" t="s">
        <v>273</v>
      </c>
      <c r="J14" s="38" t="s">
        <v>318</v>
      </c>
      <c r="O14" s="5" t="s">
        <v>273</v>
      </c>
    </row>
    <row r="15" spans="1:24" x14ac:dyDescent="0.35">
      <c r="B15" s="1" t="s">
        <v>319</v>
      </c>
      <c r="C15" s="5" t="s">
        <v>273</v>
      </c>
      <c r="E15" s="5" t="s">
        <v>273</v>
      </c>
      <c r="G15" s="5" t="s">
        <v>273</v>
      </c>
      <c r="J15" s="38" t="s">
        <v>320</v>
      </c>
      <c r="O15" s="5" t="s">
        <v>273</v>
      </c>
    </row>
    <row r="16" spans="1:24" x14ac:dyDescent="0.35">
      <c r="B16" s="1" t="s">
        <v>321</v>
      </c>
      <c r="C16" s="5" t="s">
        <v>273</v>
      </c>
      <c r="E16" s="5" t="s">
        <v>273</v>
      </c>
      <c r="J16" s="38" t="s">
        <v>322</v>
      </c>
      <c r="O16" s="5" t="s">
        <v>273</v>
      </c>
    </row>
    <row r="17" spans="1:15" x14ac:dyDescent="0.35">
      <c r="B17" s="1" t="s">
        <v>323</v>
      </c>
      <c r="C17" s="5" t="s">
        <v>273</v>
      </c>
      <c r="E17" s="5" t="s">
        <v>273</v>
      </c>
      <c r="J17" s="38" t="s">
        <v>324</v>
      </c>
      <c r="O17" s="5" t="s">
        <v>273</v>
      </c>
    </row>
    <row r="18" spans="1:15" x14ac:dyDescent="0.35">
      <c r="B18" s="1" t="s">
        <v>325</v>
      </c>
      <c r="J18" s="1" t="s">
        <v>326</v>
      </c>
      <c r="O18" s="5" t="s">
        <v>273</v>
      </c>
    </row>
    <row r="19" spans="1:15" x14ac:dyDescent="0.35">
      <c r="J19" s="1" t="s">
        <v>217</v>
      </c>
      <c r="O19" s="5"/>
    </row>
    <row r="20" spans="1:15" x14ac:dyDescent="0.35">
      <c r="B20" s="1" t="s">
        <v>327</v>
      </c>
      <c r="J20" s="1" t="s">
        <v>328</v>
      </c>
    </row>
    <row r="21" spans="1:15" x14ac:dyDescent="0.35">
      <c r="B21" s="1" t="s">
        <v>329</v>
      </c>
      <c r="J21" s="1" t="s">
        <v>330</v>
      </c>
    </row>
    <row r="22" spans="1:15" x14ac:dyDescent="0.35">
      <c r="B22" s="1" t="s">
        <v>331</v>
      </c>
      <c r="J22" s="1" t="s">
        <v>332</v>
      </c>
    </row>
    <row r="23" spans="1:15" x14ac:dyDescent="0.35">
      <c r="A23" s="5" t="s">
        <v>273</v>
      </c>
      <c r="B23" s="38" t="s">
        <v>270</v>
      </c>
      <c r="J23" s="1" t="s">
        <v>333</v>
      </c>
    </row>
    <row r="24" spans="1:15" x14ac:dyDescent="0.35">
      <c r="A24" s="5" t="s">
        <v>273</v>
      </c>
      <c r="J24" s="1" t="s">
        <v>334</v>
      </c>
    </row>
    <row r="25" spans="1:15" x14ac:dyDescent="0.35">
      <c r="A25" s="5" t="s">
        <v>273</v>
      </c>
      <c r="J25" s="1" t="s">
        <v>335</v>
      </c>
    </row>
    <row r="26" spans="1:15" x14ac:dyDescent="0.35">
      <c r="A26" s="5" t="s">
        <v>273</v>
      </c>
      <c r="J26" s="1" t="s">
        <v>336</v>
      </c>
    </row>
    <row r="27" spans="1:15" x14ac:dyDescent="0.35">
      <c r="A27" s="5" t="s">
        <v>273</v>
      </c>
      <c r="J27" s="1" t="s">
        <v>337</v>
      </c>
    </row>
    <row r="28" spans="1:15" x14ac:dyDescent="0.35">
      <c r="J28" s="1" t="s">
        <v>338</v>
      </c>
    </row>
    <row r="29" spans="1:15" x14ac:dyDescent="0.35">
      <c r="J29" s="1" t="s">
        <v>339</v>
      </c>
    </row>
    <row r="30" spans="1:15" x14ac:dyDescent="0.35">
      <c r="J30" s="1" t="s">
        <v>340</v>
      </c>
    </row>
    <row r="31" spans="1:15" x14ac:dyDescent="0.35">
      <c r="J31" s="1" t="s">
        <v>341</v>
      </c>
    </row>
    <row r="32" spans="1:15" x14ac:dyDescent="0.35">
      <c r="J32" s="1" t="s">
        <v>215</v>
      </c>
    </row>
    <row r="33" spans="10:11" x14ac:dyDescent="0.35">
      <c r="J33" s="1" t="s">
        <v>342</v>
      </c>
    </row>
    <row r="34" spans="10:11" x14ac:dyDescent="0.35">
      <c r="J34" s="1" t="s">
        <v>343</v>
      </c>
    </row>
    <row r="35" spans="10:11" x14ac:dyDescent="0.35">
      <c r="J35" s="1" t="s">
        <v>344</v>
      </c>
    </row>
    <row r="36" spans="10:11" x14ac:dyDescent="0.35">
      <c r="J36" s="1" t="s">
        <v>345</v>
      </c>
    </row>
    <row r="37" spans="10:11" x14ac:dyDescent="0.35">
      <c r="J37" s="1" t="s">
        <v>216</v>
      </c>
    </row>
    <row r="38" spans="10:11" x14ac:dyDescent="0.35">
      <c r="J38" s="1" t="s">
        <v>346</v>
      </c>
    </row>
    <row r="39" spans="10:11" x14ac:dyDescent="0.35">
      <c r="J39" s="1" t="s">
        <v>293</v>
      </c>
    </row>
    <row r="40" spans="10:11" x14ac:dyDescent="0.35">
      <c r="J40" s="1" t="s">
        <v>347</v>
      </c>
    </row>
    <row r="41" spans="10:11" x14ac:dyDescent="0.35">
      <c r="J41" s="1" t="s">
        <v>348</v>
      </c>
    </row>
    <row r="42" spans="10:11" x14ac:dyDescent="0.35">
      <c r="J42" s="1" t="s">
        <v>349</v>
      </c>
    </row>
    <row r="43" spans="10:11" x14ac:dyDescent="0.35">
      <c r="J43" s="1" t="s">
        <v>350</v>
      </c>
    </row>
    <row r="44" spans="10:11" x14ac:dyDescent="0.35">
      <c r="J44" s="1" t="s">
        <v>351</v>
      </c>
    </row>
    <row r="45" spans="10:11" x14ac:dyDescent="0.35">
      <c r="J45" s="1" t="s">
        <v>352</v>
      </c>
    </row>
    <row r="46" spans="10:11" x14ac:dyDescent="0.35">
      <c r="J46" s="1" t="s">
        <v>353</v>
      </c>
      <c r="K46" s="35"/>
    </row>
    <row r="47" spans="10:11" x14ac:dyDescent="0.35">
      <c r="J47" s="1" t="s">
        <v>354</v>
      </c>
      <c r="K47" s="35"/>
    </row>
    <row r="48" spans="10:11" x14ac:dyDescent="0.35">
      <c r="J48" s="38" t="s">
        <v>355</v>
      </c>
      <c r="K48" s="35"/>
    </row>
    <row r="49" spans="9:11" x14ac:dyDescent="0.35">
      <c r="J49" s="38" t="s">
        <v>356</v>
      </c>
      <c r="K49" s="35"/>
    </row>
    <row r="50" spans="9:11" x14ac:dyDescent="0.35">
      <c r="J50" s="38" t="s">
        <v>357</v>
      </c>
    </row>
    <row r="51" spans="9:11" x14ac:dyDescent="0.35">
      <c r="J51" s="38" t="s">
        <v>358</v>
      </c>
    </row>
    <row r="52" spans="9:11" x14ac:dyDescent="0.35">
      <c r="J52" s="1" t="s">
        <v>359</v>
      </c>
    </row>
    <row r="53" spans="9:11" x14ac:dyDescent="0.35">
      <c r="J53" s="1" t="s">
        <v>360</v>
      </c>
    </row>
    <row r="54" spans="9:11" x14ac:dyDescent="0.35">
      <c r="J54" s="1" t="s">
        <v>361</v>
      </c>
    </row>
    <row r="55" spans="9:11" x14ac:dyDescent="0.35">
      <c r="J55" s="1" t="s">
        <v>362</v>
      </c>
    </row>
    <row r="56" spans="9:11" x14ac:dyDescent="0.35">
      <c r="I56" s="5" t="s">
        <v>273</v>
      </c>
      <c r="J56" s="35" t="s">
        <v>363</v>
      </c>
    </row>
    <row r="57" spans="9:11" x14ac:dyDescent="0.35">
      <c r="I57" s="5" t="s">
        <v>273</v>
      </c>
      <c r="J57" s="35" t="s">
        <v>364</v>
      </c>
    </row>
    <row r="58" spans="9:11" x14ac:dyDescent="0.35">
      <c r="I58" s="5" t="s">
        <v>273</v>
      </c>
      <c r="J58" s="35" t="s">
        <v>365</v>
      </c>
    </row>
    <row r="59" spans="9:11" x14ac:dyDescent="0.35">
      <c r="I59" s="5" t="s">
        <v>273</v>
      </c>
      <c r="J59" s="35" t="s">
        <v>366</v>
      </c>
    </row>
    <row r="60" spans="9:11" x14ac:dyDescent="0.35">
      <c r="I60" s="5" t="s">
        <v>273</v>
      </c>
      <c r="J60" s="35" t="s">
        <v>367</v>
      </c>
    </row>
    <row r="61" spans="9:11" x14ac:dyDescent="0.35">
      <c r="I61" s="5" t="s">
        <v>273</v>
      </c>
      <c r="J61" s="35" t="s">
        <v>368</v>
      </c>
    </row>
    <row r="62" spans="9:11" x14ac:dyDescent="0.35">
      <c r="I62" s="5" t="s">
        <v>273</v>
      </c>
      <c r="J62" s="35" t="s">
        <v>369</v>
      </c>
    </row>
    <row r="63" spans="9:11" x14ac:dyDescent="0.35">
      <c r="I63" s="5" t="s">
        <v>273</v>
      </c>
      <c r="J63" s="35" t="s">
        <v>370</v>
      </c>
    </row>
    <row r="64" spans="9:11" x14ac:dyDescent="0.35">
      <c r="I64" s="5" t="s">
        <v>273</v>
      </c>
      <c r="J64" s="35" t="s">
        <v>371</v>
      </c>
    </row>
    <row r="65" spans="9:10" x14ac:dyDescent="0.35">
      <c r="I65" s="5" t="s">
        <v>273</v>
      </c>
      <c r="J65" s="35" t="s">
        <v>372</v>
      </c>
    </row>
    <row r="66" spans="9:10" x14ac:dyDescent="0.35">
      <c r="I66" s="5" t="s">
        <v>273</v>
      </c>
      <c r="J66" s="35" t="s">
        <v>373</v>
      </c>
    </row>
    <row r="67" spans="9:10" x14ac:dyDescent="0.35">
      <c r="I67" s="5" t="s">
        <v>273</v>
      </c>
      <c r="J67" s="35" t="s">
        <v>374</v>
      </c>
    </row>
    <row r="68" spans="9:10" x14ac:dyDescent="0.35">
      <c r="I68" s="5" t="s">
        <v>273</v>
      </c>
      <c r="J68" s="35" t="s">
        <v>375</v>
      </c>
    </row>
    <row r="69" spans="9:10" x14ac:dyDescent="0.35">
      <c r="I69" s="5" t="s">
        <v>273</v>
      </c>
      <c r="J69" s="35" t="s">
        <v>376</v>
      </c>
    </row>
    <row r="70" spans="9:10" x14ac:dyDescent="0.35">
      <c r="J70" s="35"/>
    </row>
    <row r="71" spans="9:10" x14ac:dyDescent="0.35">
      <c r="J71" s="35"/>
    </row>
    <row r="72" spans="9:10" x14ac:dyDescent="0.35">
      <c r="J72" s="35"/>
    </row>
    <row r="73" spans="9:10" x14ac:dyDescent="0.35">
      <c r="J73" s="35"/>
    </row>
    <row r="74" spans="9:10" x14ac:dyDescent="0.35">
      <c r="J74" s="35"/>
    </row>
    <row r="75" spans="9:10" x14ac:dyDescent="0.35">
      <c r="J75" s="35"/>
    </row>
    <row r="85" spans="10:10" x14ac:dyDescent="0.35">
      <c r="J85" s="35"/>
    </row>
  </sheetData>
  <sortState xmlns:xlrd2="http://schemas.microsoft.com/office/spreadsheetml/2017/richdata2" ref="J56:J69">
    <sortCondition ref="J56"/>
  </sortState>
  <conditionalFormatting sqref="J95:J1048576 J1:J3 J70:J93">
    <cfRule type="duplicateValues" dxfId="18" priority="19"/>
  </conditionalFormatting>
  <conditionalFormatting sqref="J10">
    <cfRule type="duplicateValues" dxfId="17" priority="17"/>
  </conditionalFormatting>
  <conditionalFormatting sqref="J4:J55 J70:J75">
    <cfRule type="duplicateValues" dxfId="16" priority="166"/>
  </conditionalFormatting>
  <conditionalFormatting sqref="J56">
    <cfRule type="duplicateValues" dxfId="15" priority="15"/>
  </conditionalFormatting>
  <conditionalFormatting sqref="J56">
    <cfRule type="duplicateValues" dxfId="14" priority="16"/>
  </conditionalFormatting>
  <conditionalFormatting sqref="J57">
    <cfRule type="duplicateValues" dxfId="13" priority="13"/>
  </conditionalFormatting>
  <conditionalFormatting sqref="J57">
    <cfRule type="duplicateValues" dxfId="12" priority="14"/>
  </conditionalFormatting>
  <conditionalFormatting sqref="J58">
    <cfRule type="duplicateValues" dxfId="11" priority="11"/>
  </conditionalFormatting>
  <conditionalFormatting sqref="J58">
    <cfRule type="duplicateValues" dxfId="10" priority="12"/>
  </conditionalFormatting>
  <conditionalFormatting sqref="J63:J64">
    <cfRule type="duplicateValues" dxfId="9" priority="9"/>
  </conditionalFormatting>
  <conditionalFormatting sqref="J63:J64">
    <cfRule type="duplicateValues" dxfId="8" priority="10"/>
  </conditionalFormatting>
  <conditionalFormatting sqref="J65">
    <cfRule type="duplicateValues" dxfId="7" priority="7"/>
  </conditionalFormatting>
  <conditionalFormatting sqref="J65">
    <cfRule type="duplicateValues" dxfId="6" priority="8"/>
  </conditionalFormatting>
  <conditionalFormatting sqref="J66:J67">
    <cfRule type="duplicateValues" dxfId="5" priority="5"/>
  </conditionalFormatting>
  <conditionalFormatting sqref="J66:J67">
    <cfRule type="duplicateValues" dxfId="4" priority="6"/>
  </conditionalFormatting>
  <conditionalFormatting sqref="J68">
    <cfRule type="duplicateValues" dxfId="3" priority="3"/>
  </conditionalFormatting>
  <conditionalFormatting sqref="J68">
    <cfRule type="duplicateValues" dxfId="2" priority="4"/>
  </conditionalFormatting>
  <conditionalFormatting sqref="J69">
    <cfRule type="duplicateValues" dxfId="1" priority="1"/>
  </conditionalFormatting>
  <conditionalFormatting sqref="J69">
    <cfRule type="duplicateValues" dxfId="0" priority="2"/>
  </conditionalFormatting>
  <pageMargins left="0.7" right="0.7" top="0.75" bottom="0.75" header="0.3" footer="0.3"/>
  <pageSetup paperSize="9"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O69"/>
  <sheetViews>
    <sheetView topLeftCell="A19" workbookViewId="0">
      <selection activeCell="D103" sqref="D103"/>
    </sheetView>
  </sheetViews>
  <sheetFormatPr defaultRowHeight="15.5" x14ac:dyDescent="0.35"/>
  <cols>
    <col min="1" max="1" width="12.25" customWidth="1"/>
    <col min="2" max="2" width="11.33203125" customWidth="1"/>
    <col min="3" max="3" width="21.08203125" customWidth="1"/>
    <col min="4" max="4" width="12.33203125" bestFit="1" customWidth="1"/>
    <col min="7" max="7" width="17.33203125" bestFit="1" customWidth="1"/>
  </cols>
  <sheetData>
    <row r="1" spans="1:7" x14ac:dyDescent="0.35">
      <c r="A1" t="s">
        <v>377</v>
      </c>
    </row>
    <row r="2" spans="1:7" x14ac:dyDescent="0.35">
      <c r="A2" t="s">
        <v>378</v>
      </c>
      <c r="B2" t="s">
        <v>379</v>
      </c>
      <c r="C2" t="s">
        <v>380</v>
      </c>
      <c r="D2" t="s">
        <v>381</v>
      </c>
      <c r="E2" t="s">
        <v>382</v>
      </c>
      <c r="F2" t="s">
        <v>383</v>
      </c>
      <c r="G2" t="s">
        <v>384</v>
      </c>
    </row>
    <row r="3" spans="1:7" ht="13.5" customHeight="1" thickBot="1" x14ac:dyDescent="0.4">
      <c r="A3" s="131">
        <v>101.12</v>
      </c>
      <c r="B3" s="132">
        <v>101.84</v>
      </c>
      <c r="C3" s="132">
        <v>102.06</v>
      </c>
      <c r="D3" s="132">
        <v>102.99</v>
      </c>
      <c r="E3" s="132">
        <v>103.41</v>
      </c>
      <c r="F3" s="132">
        <v>102.85</v>
      </c>
      <c r="G3" s="133">
        <v>103.96</v>
      </c>
    </row>
    <row r="4" spans="1:7" ht="6.75" customHeight="1" x14ac:dyDescent="0.35"/>
    <row r="6" spans="1:7" x14ac:dyDescent="0.35">
      <c r="A6" s="137"/>
    </row>
    <row r="7" spans="1:7" x14ac:dyDescent="0.35">
      <c r="A7" s="138"/>
    </row>
    <row r="8" spans="1:7" ht="28.5" customHeight="1" x14ac:dyDescent="0.35">
      <c r="A8" s="139"/>
    </row>
    <row r="9" spans="1:7" ht="22.5" customHeight="1" x14ac:dyDescent="0.35">
      <c r="A9" s="139"/>
    </row>
    <row r="19" spans="1:15" x14ac:dyDescent="0.35">
      <c r="J19">
        <f>86.3*0.9</f>
        <v>77.67</v>
      </c>
    </row>
    <row r="20" spans="1:15" x14ac:dyDescent="0.35">
      <c r="J20">
        <f>10.8*0.8</f>
        <v>8.64</v>
      </c>
    </row>
    <row r="21" spans="1:15" x14ac:dyDescent="0.35">
      <c r="J21">
        <f>J19+J20</f>
        <v>86.31</v>
      </c>
    </row>
    <row r="22" spans="1:15" x14ac:dyDescent="0.35">
      <c r="A22" t="s">
        <v>385</v>
      </c>
      <c r="B22" t="s">
        <v>386</v>
      </c>
      <c r="C22" t="s">
        <v>172</v>
      </c>
    </row>
    <row r="23" spans="1:15" x14ac:dyDescent="0.35">
      <c r="A23">
        <v>1</v>
      </c>
      <c r="B23" s="140">
        <v>277777.77799999999</v>
      </c>
      <c r="C23" s="140">
        <f>ROUND(B23/8000,0)</f>
        <v>35</v>
      </c>
    </row>
    <row r="24" spans="1:15" x14ac:dyDescent="0.35">
      <c r="A24">
        <f>('Wet biomass potential'!E8+'Wet biomass potential'!E13+'Wet biomass potential'!E15+'Wet biomass potential'!E16)*0.6</f>
        <v>24.96</v>
      </c>
      <c r="B24">
        <f>A24*$B$23</f>
        <v>6933333.3388799997</v>
      </c>
      <c r="C24" s="140">
        <f t="shared" ref="C24:C29" si="0">ROUND(B24/8000,0)</f>
        <v>867</v>
      </c>
      <c r="D24" t="s">
        <v>387</v>
      </c>
      <c r="E24" t="s">
        <v>388</v>
      </c>
    </row>
    <row r="25" spans="1:15" x14ac:dyDescent="0.35">
      <c r="A25">
        <f>('Wet biomass potential'!F8+'Wet biomass potential'!F13+'Wet biomass potential'!F15+'Wet biomass potential'!F16)*0.6</f>
        <v>20.159999999999997</v>
      </c>
      <c r="B25">
        <f>A25*$B$23</f>
        <v>5600000.0044799987</v>
      </c>
      <c r="C25" s="140">
        <f>ROUND(B25/8000,0)</f>
        <v>700</v>
      </c>
      <c r="D25" t="s">
        <v>389</v>
      </c>
    </row>
    <row r="26" spans="1:15" x14ac:dyDescent="0.35">
      <c r="A26">
        <f>('Wet biomass potential'!G8+'Wet biomass potential'!G13+'Wet biomass potential'!G15+'Wet biomass potential'!G16)*0.6</f>
        <v>30</v>
      </c>
      <c r="B26">
        <f t="shared" ref="B26:B29" si="1">A26*$B$23</f>
        <v>8333333.3399999999</v>
      </c>
      <c r="C26" s="140">
        <f t="shared" si="0"/>
        <v>1042</v>
      </c>
      <c r="D26" t="s">
        <v>390</v>
      </c>
    </row>
    <row r="27" spans="1:15" x14ac:dyDescent="0.35">
      <c r="A27">
        <f>('Wet biomass potential'!H8+'Wet biomass potential'!H13+'Wet biomass potential'!H15+'Wet biomass potential'!H16)*0.6</f>
        <v>21.06</v>
      </c>
      <c r="B27">
        <f t="shared" si="1"/>
        <v>5850000.0046799993</v>
      </c>
      <c r="C27" s="140">
        <f t="shared" si="0"/>
        <v>731</v>
      </c>
      <c r="D27" t="s">
        <v>391</v>
      </c>
    </row>
    <row r="28" spans="1:15" x14ac:dyDescent="0.35">
      <c r="A28">
        <f>'Wet biomass potential'!J8+'Wet biomass potential'!J14+'Wet biomass potential'!J15+'Wet biomass potential'!J16</f>
        <v>13.1</v>
      </c>
      <c r="B28">
        <f t="shared" si="1"/>
        <v>3638888.8917999999</v>
      </c>
      <c r="C28" s="140">
        <f t="shared" si="0"/>
        <v>455</v>
      </c>
      <c r="D28" t="s">
        <v>392</v>
      </c>
      <c r="O28">
        <f>5%*1*0.9</f>
        <v>4.5000000000000005E-2</v>
      </c>
    </row>
    <row r="29" spans="1:15" x14ac:dyDescent="0.35">
      <c r="A29">
        <f>'Wet biomass potential'!K8+'Wet biomass potential'!K14+'Wet biomass potential'!K15+'Wet biomass potential'!K16</f>
        <v>15.7</v>
      </c>
      <c r="B29">
        <f t="shared" si="1"/>
        <v>4361111.1146</v>
      </c>
      <c r="C29" s="140">
        <f t="shared" si="0"/>
        <v>545</v>
      </c>
      <c r="D29" t="s">
        <v>393</v>
      </c>
      <c r="G29" s="185"/>
      <c r="O29">
        <f>0.48-O28</f>
        <v>0.435</v>
      </c>
    </row>
    <row r="30" spans="1:15" x14ac:dyDescent="0.35">
      <c r="C30" s="140"/>
    </row>
    <row r="33" spans="1:5" x14ac:dyDescent="0.35">
      <c r="A33" t="s">
        <v>394</v>
      </c>
      <c r="D33" t="s">
        <v>395</v>
      </c>
    </row>
    <row r="34" spans="1:5" x14ac:dyDescent="0.35">
      <c r="A34" t="s">
        <v>396</v>
      </c>
      <c r="B34">
        <v>5500</v>
      </c>
      <c r="C34" t="s">
        <v>397</v>
      </c>
      <c r="D34">
        <v>1</v>
      </c>
      <c r="E34" t="s">
        <v>140</v>
      </c>
    </row>
    <row r="35" spans="1:5" x14ac:dyDescent="0.35">
      <c r="A35" t="s">
        <v>398</v>
      </c>
      <c r="B35">
        <v>5445</v>
      </c>
      <c r="C35" t="s">
        <v>397</v>
      </c>
      <c r="D35">
        <v>0.99</v>
      </c>
      <c r="E35" t="s">
        <v>140</v>
      </c>
    </row>
    <row r="36" spans="1:5" x14ac:dyDescent="0.35">
      <c r="A36" t="s">
        <v>399</v>
      </c>
      <c r="B36" s="141">
        <v>273103.44827586209</v>
      </c>
      <c r="C36" t="s">
        <v>400</v>
      </c>
      <c r="D36" s="141">
        <f>1/0.58*1000000</f>
        <v>1724137.9310344828</v>
      </c>
      <c r="E36" t="s">
        <v>400</v>
      </c>
    </row>
    <row r="37" spans="1:5" x14ac:dyDescent="0.35">
      <c r="A37" s="141" t="s">
        <v>401</v>
      </c>
      <c r="B37">
        <f>B17*B36</f>
        <v>0</v>
      </c>
      <c r="C37" t="s">
        <v>400</v>
      </c>
      <c r="D37" s="141">
        <f>D36*B12</f>
        <v>0</v>
      </c>
      <c r="E37" t="s">
        <v>402</v>
      </c>
    </row>
    <row r="38" spans="1:5" x14ac:dyDescent="0.35">
      <c r="D38">
        <f>D37/1000000</f>
        <v>0</v>
      </c>
    </row>
    <row r="69" spans="7:7" x14ac:dyDescent="0.35">
      <c r="G69" t="e">
        <v>#NAME?</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D1A54-699C-4F46-8813-ED9FE3D66B5C}">
  <dimension ref="A1:K53"/>
  <sheetViews>
    <sheetView topLeftCell="A3" workbookViewId="0">
      <selection activeCell="D103" sqref="D103"/>
    </sheetView>
  </sheetViews>
  <sheetFormatPr defaultRowHeight="15.5" x14ac:dyDescent="0.35"/>
  <cols>
    <col min="2" max="2" width="11.83203125" customWidth="1"/>
    <col min="3" max="4" width="12.83203125" customWidth="1"/>
    <col min="6" max="6" width="14.33203125" customWidth="1"/>
    <col min="8" max="8" width="11" customWidth="1"/>
  </cols>
  <sheetData>
    <row r="1" spans="1:11" x14ac:dyDescent="0.35">
      <c r="A1" t="s">
        <v>403</v>
      </c>
    </row>
    <row r="2" spans="1:11" ht="18" customHeight="1" x14ac:dyDescent="0.35">
      <c r="A2" t="s">
        <v>404</v>
      </c>
    </row>
    <row r="3" spans="1:11" x14ac:dyDescent="0.35">
      <c r="A3" t="s">
        <v>405</v>
      </c>
    </row>
    <row r="4" spans="1:11" x14ac:dyDescent="0.35">
      <c r="C4" t="s">
        <v>406</v>
      </c>
      <c r="D4" t="s">
        <v>407</v>
      </c>
      <c r="E4" t="s">
        <v>408</v>
      </c>
      <c r="F4" t="s">
        <v>407</v>
      </c>
      <c r="G4" t="s">
        <v>408</v>
      </c>
      <c r="H4" t="s">
        <v>407</v>
      </c>
      <c r="I4" t="s">
        <v>409</v>
      </c>
      <c r="J4" s="142" t="s">
        <v>410</v>
      </c>
      <c r="K4" s="142"/>
    </row>
    <row r="5" spans="1:11" x14ac:dyDescent="0.35">
      <c r="C5">
        <v>2014</v>
      </c>
      <c r="D5">
        <v>2010</v>
      </c>
      <c r="E5">
        <v>2023</v>
      </c>
      <c r="F5">
        <v>2020</v>
      </c>
      <c r="G5">
        <v>2030</v>
      </c>
      <c r="H5">
        <v>2030</v>
      </c>
      <c r="J5" s="142">
        <v>2020</v>
      </c>
      <c r="K5" s="142">
        <v>2030</v>
      </c>
    </row>
    <row r="6" spans="1:11" x14ac:dyDescent="0.35">
      <c r="C6" t="s">
        <v>271</v>
      </c>
      <c r="D6" t="s">
        <v>271</v>
      </c>
      <c r="E6" t="s">
        <v>271</v>
      </c>
      <c r="F6" t="s">
        <v>271</v>
      </c>
      <c r="G6" t="s">
        <v>271</v>
      </c>
      <c r="H6" t="s">
        <v>271</v>
      </c>
      <c r="J6" s="142" t="s">
        <v>271</v>
      </c>
      <c r="K6" s="142"/>
    </row>
    <row r="7" spans="1:11" x14ac:dyDescent="0.35">
      <c r="A7" s="136" t="s">
        <v>411</v>
      </c>
      <c r="B7" s="136"/>
      <c r="C7" s="136"/>
      <c r="D7" s="136"/>
      <c r="E7" s="136"/>
      <c r="F7" s="136"/>
      <c r="G7" s="136"/>
      <c r="H7" s="136"/>
      <c r="J7" s="142"/>
      <c r="K7" s="142"/>
    </row>
    <row r="8" spans="1:11" x14ac:dyDescent="0.35">
      <c r="B8" t="s">
        <v>412</v>
      </c>
      <c r="C8">
        <f>14.1</f>
        <v>14.1</v>
      </c>
      <c r="D8">
        <v>19.2</v>
      </c>
      <c r="E8">
        <v>15.6</v>
      </c>
      <c r="F8">
        <v>9.9</v>
      </c>
      <c r="G8">
        <v>17</v>
      </c>
      <c r="H8">
        <v>10.8</v>
      </c>
      <c r="I8" s="135" t="s">
        <v>413</v>
      </c>
      <c r="J8" s="143">
        <v>8.6999999999999993</v>
      </c>
      <c r="K8" s="143">
        <v>9.6</v>
      </c>
    </row>
    <row r="9" spans="1:11" x14ac:dyDescent="0.35">
      <c r="B9" t="s">
        <v>414</v>
      </c>
      <c r="C9">
        <v>6.4</v>
      </c>
      <c r="D9">
        <v>6.6</v>
      </c>
      <c r="E9">
        <v>6.9</v>
      </c>
      <c r="F9">
        <v>7.7</v>
      </c>
      <c r="G9">
        <v>7.2</v>
      </c>
      <c r="H9">
        <v>8.6</v>
      </c>
      <c r="J9" s="142">
        <f>3.9+1.6</f>
        <v>5.5</v>
      </c>
      <c r="K9" s="142">
        <f>8.8+3.2</f>
        <v>12</v>
      </c>
    </row>
    <row r="10" spans="1:11" x14ac:dyDescent="0.35">
      <c r="A10" s="505" t="s">
        <v>415</v>
      </c>
      <c r="B10" s="144" t="s">
        <v>416</v>
      </c>
      <c r="C10" s="144">
        <f>11</f>
        <v>11</v>
      </c>
      <c r="D10" s="144">
        <f>17.2+36.5</f>
        <v>53.7</v>
      </c>
      <c r="E10" s="144">
        <v>21</v>
      </c>
      <c r="F10" s="144">
        <f>17.4+35.6</f>
        <v>53</v>
      </c>
      <c r="G10" s="144">
        <v>30</v>
      </c>
      <c r="H10" s="144">
        <f>17.7+35.1</f>
        <v>52.8</v>
      </c>
      <c r="I10" t="s">
        <v>417</v>
      </c>
      <c r="J10" s="142">
        <f>4.3+1+0.9</f>
        <v>6.2</v>
      </c>
      <c r="K10" s="142">
        <f>22+3.6+5.1</f>
        <v>30.700000000000003</v>
      </c>
    </row>
    <row r="11" spans="1:11" x14ac:dyDescent="0.35">
      <c r="A11" s="505"/>
      <c r="B11" s="145"/>
      <c r="C11" s="145"/>
      <c r="D11" s="146"/>
      <c r="E11" s="146"/>
      <c r="F11" s="146"/>
      <c r="G11" s="146"/>
      <c r="H11" s="146"/>
      <c r="J11" s="142"/>
      <c r="K11" s="142"/>
    </row>
    <row r="12" spans="1:11" x14ac:dyDescent="0.35">
      <c r="A12" s="505"/>
      <c r="B12" s="147"/>
      <c r="C12" s="147"/>
      <c r="D12" s="144"/>
      <c r="E12" s="144"/>
      <c r="F12" s="144"/>
      <c r="G12" s="144"/>
      <c r="H12" s="144"/>
      <c r="J12" s="142"/>
      <c r="K12" s="142"/>
    </row>
    <row r="13" spans="1:11" x14ac:dyDescent="0.35">
      <c r="A13" s="505"/>
      <c r="B13" t="s">
        <v>418</v>
      </c>
      <c r="C13">
        <v>3</v>
      </c>
      <c r="D13">
        <v>5.0999999999999996</v>
      </c>
      <c r="E13">
        <v>8</v>
      </c>
      <c r="F13">
        <v>4.2</v>
      </c>
      <c r="G13">
        <v>12</v>
      </c>
      <c r="H13">
        <v>4.2</v>
      </c>
      <c r="J13" s="142"/>
      <c r="K13" s="142"/>
    </row>
    <row r="14" spans="1:11" x14ac:dyDescent="0.35">
      <c r="A14" s="505"/>
      <c r="B14" s="79"/>
      <c r="C14" s="79"/>
      <c r="D14" s="79"/>
      <c r="E14" s="79"/>
      <c r="F14" s="79"/>
      <c r="G14" s="79"/>
      <c r="J14" s="142">
        <v>1.5</v>
      </c>
      <c r="K14" s="142">
        <v>2.9</v>
      </c>
    </row>
    <row r="15" spans="1:11" x14ac:dyDescent="0.35">
      <c r="B15" t="s">
        <v>419</v>
      </c>
      <c r="C15">
        <v>14</v>
      </c>
      <c r="D15" s="144">
        <f>0.9+20.3</f>
        <v>21.2</v>
      </c>
      <c r="E15">
        <v>15</v>
      </c>
      <c r="F15" s="144">
        <f>0.7+18</f>
        <v>18.7</v>
      </c>
      <c r="G15">
        <v>16</v>
      </c>
      <c r="H15" s="144">
        <f>0.8+19.2</f>
        <v>20</v>
      </c>
      <c r="J15" s="142">
        <v>1.4</v>
      </c>
      <c r="K15" s="142">
        <v>3.2</v>
      </c>
    </row>
    <row r="16" spans="1:11" x14ac:dyDescent="0.35">
      <c r="B16" t="s">
        <v>420</v>
      </c>
      <c r="D16">
        <v>0.8</v>
      </c>
      <c r="E16">
        <v>3</v>
      </c>
      <c r="F16">
        <v>0.8</v>
      </c>
      <c r="G16">
        <v>5</v>
      </c>
      <c r="H16">
        <v>0.1</v>
      </c>
      <c r="J16" s="142">
        <v>1.5</v>
      </c>
      <c r="K16" s="142">
        <v>0</v>
      </c>
    </row>
    <row r="17" spans="1:11" x14ac:dyDescent="0.35">
      <c r="A17" s="136" t="s">
        <v>421</v>
      </c>
      <c r="B17" s="136"/>
      <c r="C17" s="136"/>
      <c r="D17" s="136"/>
      <c r="E17" s="136"/>
      <c r="F17" s="136"/>
      <c r="G17" s="136"/>
      <c r="H17" s="136"/>
    </row>
    <row r="18" spans="1:11" x14ac:dyDescent="0.35">
      <c r="A18" t="s">
        <v>422</v>
      </c>
      <c r="B18" t="s">
        <v>423</v>
      </c>
      <c r="C18">
        <v>17</v>
      </c>
      <c r="D18">
        <v>15.2</v>
      </c>
      <c r="E18">
        <v>23</v>
      </c>
      <c r="F18">
        <v>17.399999999999999</v>
      </c>
      <c r="G18">
        <v>29</v>
      </c>
      <c r="H18">
        <v>19</v>
      </c>
    </row>
    <row r="19" spans="1:11" x14ac:dyDescent="0.35">
      <c r="B19" t="s">
        <v>424</v>
      </c>
      <c r="C19">
        <v>13</v>
      </c>
      <c r="D19">
        <v>1</v>
      </c>
      <c r="E19">
        <v>14</v>
      </c>
      <c r="F19">
        <v>1.1000000000000001</v>
      </c>
      <c r="G19">
        <v>14</v>
      </c>
      <c r="H19">
        <v>1.2</v>
      </c>
    </row>
    <row r="20" spans="1:11" x14ac:dyDescent="0.35">
      <c r="A20" t="s">
        <v>425</v>
      </c>
      <c r="C20">
        <v>2.4</v>
      </c>
      <c r="D20">
        <f>3+2.7</f>
        <v>5.7</v>
      </c>
      <c r="E20">
        <v>3.1</v>
      </c>
      <c r="F20">
        <f>3.5+2.8+1.7</f>
        <v>8</v>
      </c>
      <c r="G20" s="79">
        <v>4.5999999999999996</v>
      </c>
      <c r="H20">
        <f>3.8+2.8+2</f>
        <v>8.6</v>
      </c>
    </row>
    <row r="21" spans="1:11" x14ac:dyDescent="0.35">
      <c r="A21" t="s">
        <v>426</v>
      </c>
      <c r="C21">
        <v>5</v>
      </c>
      <c r="D21">
        <f>0.7+4.8</f>
        <v>5.5</v>
      </c>
      <c r="E21">
        <v>6</v>
      </c>
      <c r="F21">
        <f>4.8</f>
        <v>4.8</v>
      </c>
      <c r="G21">
        <v>14</v>
      </c>
      <c r="H21">
        <f>6.6</f>
        <v>6.6</v>
      </c>
    </row>
    <row r="22" spans="1:11" x14ac:dyDescent="0.35">
      <c r="A22" t="s">
        <v>427</v>
      </c>
      <c r="D22">
        <v>0.1</v>
      </c>
      <c r="F22">
        <v>0.1</v>
      </c>
      <c r="H22">
        <v>0.1</v>
      </c>
    </row>
    <row r="23" spans="1:11" x14ac:dyDescent="0.35">
      <c r="A23" t="s">
        <v>428</v>
      </c>
    </row>
    <row r="24" spans="1:11" x14ac:dyDescent="0.35">
      <c r="A24" t="s">
        <v>429</v>
      </c>
      <c r="F24">
        <v>9.6999999999999993</v>
      </c>
      <c r="H24">
        <v>18.2</v>
      </c>
    </row>
    <row r="25" spans="1:11" x14ac:dyDescent="0.35">
      <c r="A25" t="s">
        <v>430</v>
      </c>
      <c r="F25">
        <v>0.7</v>
      </c>
      <c r="H25">
        <v>0.8</v>
      </c>
    </row>
    <row r="26" spans="1:11" x14ac:dyDescent="0.35">
      <c r="A26" t="s">
        <v>431</v>
      </c>
      <c r="C26">
        <v>0</v>
      </c>
      <c r="E26">
        <v>18</v>
      </c>
      <c r="G26">
        <v>53</v>
      </c>
      <c r="J26">
        <v>0.1</v>
      </c>
      <c r="K26">
        <v>16.7</v>
      </c>
    </row>
    <row r="27" spans="1:11" x14ac:dyDescent="0.35">
      <c r="A27" t="s">
        <v>432</v>
      </c>
      <c r="C27">
        <f t="shared" ref="C27:H27" si="0">SUM(C8:C26)</f>
        <v>85.9</v>
      </c>
      <c r="D27">
        <f t="shared" si="0"/>
        <v>134.1</v>
      </c>
      <c r="E27">
        <f t="shared" si="0"/>
        <v>133.6</v>
      </c>
      <c r="F27">
        <f t="shared" si="0"/>
        <v>136.09999999999997</v>
      </c>
      <c r="G27">
        <f t="shared" si="0"/>
        <v>201.79999999999998</v>
      </c>
      <c r="H27">
        <f t="shared" si="0"/>
        <v>150.99999999999997</v>
      </c>
    </row>
    <row r="28" spans="1:11" x14ac:dyDescent="0.35">
      <c r="C28" s="159">
        <f>2+30+5+14+6+14+14</f>
        <v>85</v>
      </c>
      <c r="D28" s="159"/>
      <c r="E28" s="159">
        <f>3+37+6+18+3+16+7+15+29</f>
        <v>134</v>
      </c>
      <c r="F28" s="159">
        <f>141.7-3.2-2.4</f>
        <v>136.1</v>
      </c>
      <c r="G28" s="159">
        <f>5+43+14+53+5+17+7+16+42</f>
        <v>202</v>
      </c>
      <c r="H28" s="159"/>
    </row>
    <row r="29" spans="1:11" x14ac:dyDescent="0.35">
      <c r="A29" t="s">
        <v>433</v>
      </c>
      <c r="C29">
        <f>C8</f>
        <v>14.1</v>
      </c>
      <c r="D29">
        <f t="shared" ref="D29:H29" si="1">D8</f>
        <v>19.2</v>
      </c>
      <c r="E29">
        <f t="shared" si="1"/>
        <v>15.6</v>
      </c>
      <c r="F29">
        <f t="shared" si="1"/>
        <v>9.9</v>
      </c>
      <c r="G29">
        <f t="shared" si="1"/>
        <v>17</v>
      </c>
      <c r="H29">
        <f t="shared" si="1"/>
        <v>10.8</v>
      </c>
    </row>
    <row r="30" spans="1:11" x14ac:dyDescent="0.35">
      <c r="A30" t="s">
        <v>434</v>
      </c>
      <c r="C30">
        <f>C15</f>
        <v>14</v>
      </c>
      <c r="D30">
        <f t="shared" ref="D30:H30" si="2">D15</f>
        <v>21.2</v>
      </c>
      <c r="E30">
        <f t="shared" si="2"/>
        <v>15</v>
      </c>
      <c r="F30">
        <f t="shared" si="2"/>
        <v>18.7</v>
      </c>
      <c r="G30">
        <f t="shared" si="2"/>
        <v>16</v>
      </c>
      <c r="H30">
        <f t="shared" si="2"/>
        <v>20</v>
      </c>
    </row>
    <row r="31" spans="1:11" x14ac:dyDescent="0.35">
      <c r="A31" t="s">
        <v>435</v>
      </c>
      <c r="C31">
        <f>C13+C16</f>
        <v>3</v>
      </c>
      <c r="D31">
        <f t="shared" ref="D31:H31" si="3">D13+D16</f>
        <v>5.8999999999999995</v>
      </c>
      <c r="E31">
        <f t="shared" si="3"/>
        <v>11</v>
      </c>
      <c r="F31">
        <f t="shared" si="3"/>
        <v>5</v>
      </c>
      <c r="G31">
        <f t="shared" si="3"/>
        <v>17</v>
      </c>
      <c r="H31">
        <f t="shared" si="3"/>
        <v>4.3</v>
      </c>
    </row>
    <row r="53" spans="1:2" x14ac:dyDescent="0.35">
      <c r="A53" t="s">
        <v>436</v>
      </c>
      <c r="B53" s="135" t="s">
        <v>437</v>
      </c>
    </row>
  </sheetData>
  <mergeCells count="1">
    <mergeCell ref="A10:A1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2FECB-885C-4F17-836A-4F45172770D6}">
  <dimension ref="A3:O15"/>
  <sheetViews>
    <sheetView workbookViewId="0">
      <selection activeCell="D103" sqref="D103"/>
    </sheetView>
  </sheetViews>
  <sheetFormatPr defaultRowHeight="15.5" x14ac:dyDescent="0.35"/>
  <cols>
    <col min="3" max="3" width="20.25" customWidth="1"/>
    <col min="10" max="10" width="9.33203125" bestFit="1" customWidth="1"/>
  </cols>
  <sheetData>
    <row r="3" spans="1:15" x14ac:dyDescent="0.35">
      <c r="J3" t="s">
        <v>438</v>
      </c>
    </row>
    <row r="4" spans="1:15" ht="16" thickBot="1" x14ac:dyDescent="0.4">
      <c r="A4" s="148" t="s">
        <v>439</v>
      </c>
      <c r="J4" t="s">
        <v>440</v>
      </c>
      <c r="K4" t="s">
        <v>441</v>
      </c>
      <c r="L4" t="s">
        <v>442</v>
      </c>
      <c r="M4" t="s">
        <v>443</v>
      </c>
    </row>
    <row r="5" spans="1:15" ht="16" thickBot="1" x14ac:dyDescent="0.4">
      <c r="A5" s="506"/>
      <c r="B5" s="507"/>
      <c r="C5" s="174" t="s">
        <v>213</v>
      </c>
      <c r="D5" s="149">
        <v>2015</v>
      </c>
      <c r="E5" s="149">
        <v>2020</v>
      </c>
      <c r="F5" s="149">
        <v>2030</v>
      </c>
      <c r="G5" s="149">
        <v>2040</v>
      </c>
      <c r="H5" s="149">
        <v>2050</v>
      </c>
      <c r="J5" t="s">
        <v>444</v>
      </c>
      <c r="K5" t="s">
        <v>444</v>
      </c>
      <c r="L5" t="s">
        <v>444</v>
      </c>
      <c r="M5" t="s">
        <v>444</v>
      </c>
    </row>
    <row r="6" spans="1:15" ht="16.5" thickTop="1" thickBot="1" x14ac:dyDescent="0.4">
      <c r="A6" s="508" t="s">
        <v>445</v>
      </c>
      <c r="B6" s="150" t="s">
        <v>446</v>
      </c>
      <c r="C6" s="150" t="s">
        <v>447</v>
      </c>
      <c r="D6" s="511">
        <v>3100</v>
      </c>
      <c r="E6" s="151">
        <v>2930</v>
      </c>
      <c r="F6" s="151">
        <v>2850</v>
      </c>
      <c r="G6" s="151">
        <v>2780</v>
      </c>
      <c r="H6" s="151">
        <v>2680</v>
      </c>
      <c r="I6" s="150" t="s">
        <v>446</v>
      </c>
      <c r="J6" s="152">
        <f>($D$6-E6)/$D$6/5</f>
        <v>1.0967741935483871E-2</v>
      </c>
      <c r="K6" s="152">
        <f>(E6-F6)/E6/10</f>
        <v>2.7303754266211604E-3</v>
      </c>
      <c r="L6" s="152">
        <f t="shared" ref="L6:M10" si="0">(F6-G6)/F6/10</f>
        <v>2.4561403508771931E-3</v>
      </c>
      <c r="M6" s="152">
        <f t="shared" si="0"/>
        <v>3.5971223021582731E-3</v>
      </c>
      <c r="N6" s="152"/>
      <c r="O6" s="152"/>
    </row>
    <row r="7" spans="1:15" ht="16" thickBot="1" x14ac:dyDescent="0.4">
      <c r="A7" s="509"/>
      <c r="B7" s="153" t="s">
        <v>448</v>
      </c>
      <c r="C7" s="153" t="s">
        <v>447</v>
      </c>
      <c r="D7" s="512"/>
      <c r="E7" s="154">
        <v>2860</v>
      </c>
      <c r="F7" s="154">
        <v>2740</v>
      </c>
      <c r="G7" s="154">
        <v>2630</v>
      </c>
      <c r="H7" s="154">
        <v>2510</v>
      </c>
      <c r="I7" s="153" t="s">
        <v>448</v>
      </c>
      <c r="J7" s="152">
        <f t="shared" ref="J7:J10" si="1">($D$6-E7)/$D$6/5</f>
        <v>1.5483870967741935E-2</v>
      </c>
      <c r="K7" s="152">
        <f t="shared" ref="K7:K10" si="2">(E7-F7)/E7/10</f>
        <v>4.1958041958041958E-3</v>
      </c>
      <c r="L7" s="152">
        <f t="shared" si="0"/>
        <v>4.0145985401459855E-3</v>
      </c>
      <c r="M7" s="152">
        <f t="shared" si="0"/>
        <v>4.5627376425855515E-3</v>
      </c>
    </row>
    <row r="8" spans="1:15" ht="16" thickBot="1" x14ac:dyDescent="0.4">
      <c r="A8" s="509"/>
      <c r="B8" s="150" t="s">
        <v>449</v>
      </c>
      <c r="C8" s="150" t="s">
        <v>447</v>
      </c>
      <c r="D8" s="512"/>
      <c r="E8" s="151">
        <v>2910</v>
      </c>
      <c r="F8" s="151">
        <v>2750</v>
      </c>
      <c r="G8" s="151">
        <v>2670</v>
      </c>
      <c r="H8" s="151">
        <v>2570</v>
      </c>
      <c r="I8" s="150" t="s">
        <v>449</v>
      </c>
      <c r="J8" s="152">
        <f t="shared" si="1"/>
        <v>1.2258064516129031E-2</v>
      </c>
      <c r="K8" s="152">
        <f t="shared" si="2"/>
        <v>5.4982817869415803E-3</v>
      </c>
      <c r="L8" s="152">
        <f t="shared" si="0"/>
        <v>2.9090909090909089E-3</v>
      </c>
      <c r="M8" s="152">
        <f t="shared" si="0"/>
        <v>3.7453183520599251E-3</v>
      </c>
    </row>
    <row r="9" spans="1:15" ht="16" thickBot="1" x14ac:dyDescent="0.4">
      <c r="A9" s="509"/>
      <c r="B9" s="153" t="s">
        <v>450</v>
      </c>
      <c r="C9" s="153" t="s">
        <v>447</v>
      </c>
      <c r="D9" s="512"/>
      <c r="E9" s="154">
        <v>2770</v>
      </c>
      <c r="F9" s="154">
        <v>2600</v>
      </c>
      <c r="G9" s="154">
        <v>2450</v>
      </c>
      <c r="H9" s="154">
        <v>2290</v>
      </c>
      <c r="I9" s="153" t="s">
        <v>450</v>
      </c>
      <c r="J9" s="152">
        <f>(($D$6-E9)/$D$6)^1/5</f>
        <v>2.1290322580645161E-2</v>
      </c>
      <c r="K9" s="152">
        <f t="shared" si="2"/>
        <v>6.1371841155234653E-3</v>
      </c>
      <c r="L9" s="152">
        <f t="shared" si="0"/>
        <v>5.7692307692307696E-3</v>
      </c>
      <c r="M9" s="152">
        <f t="shared" si="0"/>
        <v>6.5306122448979594E-3</v>
      </c>
    </row>
    <row r="10" spans="1:15" ht="16" thickBot="1" x14ac:dyDescent="0.4">
      <c r="A10" s="510"/>
      <c r="B10" s="150" t="s">
        <v>451</v>
      </c>
      <c r="C10" s="150" t="s">
        <v>447</v>
      </c>
      <c r="D10" s="513"/>
      <c r="E10" s="151">
        <v>3030</v>
      </c>
      <c r="F10" s="151">
        <v>3000</v>
      </c>
      <c r="G10" s="151">
        <v>2970</v>
      </c>
      <c r="H10" s="151">
        <v>2930</v>
      </c>
      <c r="I10" s="150" t="s">
        <v>451</v>
      </c>
      <c r="J10" s="152">
        <f t="shared" si="1"/>
        <v>4.5161290322580641E-3</v>
      </c>
      <c r="K10" s="152">
        <f t="shared" si="2"/>
        <v>9.9009900990099011E-4</v>
      </c>
      <c r="L10" s="152">
        <f t="shared" si="0"/>
        <v>1E-3</v>
      </c>
      <c r="M10" s="152">
        <f t="shared" si="0"/>
        <v>1.3468013468013467E-3</v>
      </c>
    </row>
    <row r="11" spans="1:15" ht="16" thickBot="1" x14ac:dyDescent="0.4">
      <c r="A11" s="155" t="s">
        <v>452</v>
      </c>
      <c r="B11" s="153" t="s">
        <v>247</v>
      </c>
      <c r="C11" s="153" t="s">
        <v>453</v>
      </c>
      <c r="D11" s="156">
        <v>0.04</v>
      </c>
      <c r="E11" s="156">
        <v>0.04</v>
      </c>
      <c r="F11" s="156">
        <v>0.04</v>
      </c>
      <c r="G11" s="156">
        <v>0.04</v>
      </c>
      <c r="H11" s="156">
        <v>0.04</v>
      </c>
    </row>
    <row r="12" spans="1:15" x14ac:dyDescent="0.35">
      <c r="I12" t="s">
        <v>454</v>
      </c>
    </row>
    <row r="14" spans="1:15" x14ac:dyDescent="0.35">
      <c r="D14" t="s">
        <v>455</v>
      </c>
    </row>
    <row r="15" spans="1:15" x14ac:dyDescent="0.35">
      <c r="J15" s="157"/>
    </row>
  </sheetData>
  <mergeCells count="3">
    <mergeCell ref="A5:B5"/>
    <mergeCell ref="A6:A10"/>
    <mergeCell ref="D6:D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NOC_ClusterId xmlns="2f6a910d-138e-42c1-8e8a-320c1b7cf3f7">060.33948</TNOC_ClusterId>
    <lca20d149a844688b6abf34073d5c21d xmlns="611ea500-83e9-4ef4-bf2f-c0233a31331f">
      <Terms xmlns="http://schemas.microsoft.com/office/infopath/2007/PartnerControls"/>
    </lca20d149a844688b6abf34073d5c21d>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bac4ab11065f4f6c809c820c57e320e5 xmlns="611ea500-83e9-4ef4-bf2f-c0233a31331f">
      <Terms xmlns="http://schemas.microsoft.com/office/infopath/2007/PartnerControls"/>
    </bac4ab11065f4f6c809c820c57e320e5>
    <cf581d8792c646118aad2c2c4ecdfa8c xmlns="611ea500-83e9-4ef4-bf2f-c0233a31331f">
      <Terms xmlns="http://schemas.microsoft.com/office/infopath/2007/PartnerControls"/>
    </cf581d8792c646118aad2c2c4ecdfa8c>
    <_dlc_DocId xmlns="611ea500-83e9-4ef4-bf2f-c0233a31331f">K5WJPCK5SUVE-119146697-12090</_dlc_DocId>
    <TaxCatchAll xmlns="611ea500-83e9-4ef4-bf2f-c0233a31331f">
      <Value>5</Value>
      <Value>1</Value>
    </TaxCatchAll>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5.5311 - Factsheets technologie-n</TNOC_ClusterName>
    <_dlc_DocIdUrl xmlns="611ea500-83e9-4ef4-bf2f-c0233a31331f">
      <Url>https://365tno.sharepoint.com/teams/P060.33948/_layouts/15/DocIdRedir.aspx?ID=K5WJPCK5SUVE-119146697-12090</Url>
      <Description>K5WJPCK5SUVE-119146697-12090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08A1F1-9AA0-4269-8A00-BB54A8892C61}">
  <ds:schemaRefs>
    <ds:schemaRef ds:uri="http://schemas.microsoft.com/sharepoint/events"/>
  </ds:schemaRefs>
</ds:datastoreItem>
</file>

<file path=customXml/itemProps2.xml><?xml version="1.0" encoding="utf-8"?>
<ds:datastoreItem xmlns:ds="http://schemas.openxmlformats.org/officeDocument/2006/customXml" ds:itemID="{7DAB151E-4341-41D9-AB24-455824789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ea500-83e9-4ef4-bf2f-c0233a31331f"/>
    <ds:schemaRef ds:uri="2f6a910d-138e-42c1-8e8a-320c1b7cf3f7"/>
    <ds:schemaRef ds:uri="cf22d98f-2e61-47ad-a8ad-1f63cee9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936DF1-C4CC-462A-A7AC-0452F494223B}">
  <ds:schemaRefs>
    <ds:schemaRef ds:uri="http://schemas.microsoft.com/office/2006/metadata/properties"/>
    <ds:schemaRef ds:uri="http://schemas.microsoft.com/office/infopath/2007/PartnerControls"/>
    <ds:schemaRef ds:uri="2f6a910d-138e-42c1-8e8a-320c1b7cf3f7"/>
    <ds:schemaRef ds:uri="611ea500-83e9-4ef4-bf2f-c0233a31331f"/>
  </ds:schemaRefs>
</ds:datastoreItem>
</file>

<file path=customXml/itemProps4.xml><?xml version="1.0" encoding="utf-8"?>
<ds:datastoreItem xmlns:ds="http://schemas.openxmlformats.org/officeDocument/2006/customXml" ds:itemID="{AAFBAC11-FB13-479A-8053-AC487C61F8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READ ME</vt:lpstr>
      <vt:lpstr>Data input old</vt:lpstr>
      <vt:lpstr>Data input</vt:lpstr>
      <vt:lpstr>Factsheet</vt:lpstr>
      <vt:lpstr>ESDL Changelog</vt:lpstr>
      <vt:lpstr>List</vt:lpstr>
      <vt:lpstr>Calculations</vt:lpstr>
      <vt:lpstr>Wet biomass potential</vt:lpstr>
      <vt:lpstr>ETRI data</vt:lpstr>
      <vt:lpstr>'READ ME'!_ftn1</vt:lpstr>
      <vt:lpstr>'READ ME'!_ftnref1</vt:lpstr>
      <vt:lpstr>Factsheet!Afdrukbereik</vt:lpstr>
      <vt:lpstr>'READ ME'!Afdrukbereik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Loos, M.A. (Manuela)</cp:lastModifiedBy>
  <cp:revision/>
  <dcterms:created xsi:type="dcterms:W3CDTF">2018-07-06T12:34:34Z</dcterms:created>
  <dcterms:modified xsi:type="dcterms:W3CDTF">2023-12-05T15:57:04Z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NOC_DocumentClassification">
    <vt:lpwstr>5;#TNO Internal|1a23c89f-ef54-4907-86fd-8242403ff722</vt:lpwstr>
  </property>
  <property fmtid="{D5CDD505-2E9C-101B-9397-08002B2CF9AE}" pid="3" name="ContentTypeId">
    <vt:lpwstr>0x010100A35317DCC28344A7B82488658A034A5C0100930A1513B42B0E4BA633819D1BDE4F35</vt:lpwstr>
  </property>
  <property fmtid="{D5CDD505-2E9C-101B-9397-08002B2CF9AE}" pid="4" name="TNOC_DocumentType">
    <vt:lpwstr/>
  </property>
  <property fmtid="{D5CDD505-2E9C-101B-9397-08002B2CF9AE}" pid="5" name="TNOC_DocumentCategory">
    <vt:lpwstr/>
  </property>
  <property fmtid="{D5CDD505-2E9C-101B-9397-08002B2CF9AE}" pid="6" name="TNOC_ClusterType">
    <vt:lpwstr>1;#Project|fa11c4c9-105f-402c-bb40-9a56b4989397</vt:lpwstr>
  </property>
  <property fmtid="{D5CDD505-2E9C-101B-9397-08002B2CF9AE}" pid="7" name="_dlc_DocIdItemGuid">
    <vt:lpwstr>7f25fdc8-ec49-45d4-a0d0-bb0da50e3f94</vt:lpwstr>
  </property>
  <property fmtid="{D5CDD505-2E9C-101B-9397-08002B2CF9AE}" pid="8" name="TNOC_DocumentSetType">
    <vt:lpwstr/>
  </property>
  <property fmtid="{D5CDD505-2E9C-101B-9397-08002B2CF9AE}" pid="9" name="AuthorIds_UIVersion_1">
    <vt:lpwstr>29</vt:lpwstr>
  </property>
  <property fmtid="{D5CDD505-2E9C-101B-9397-08002B2CF9AE}" pid="10" name="SaveCode">
    <vt:r8>88431954383850</vt:r8>
  </property>
</Properties>
</file>